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irton\Desktop\"/>
    </mc:Choice>
  </mc:AlternateContent>
  <bookViews>
    <workbookView xWindow="0" yWindow="0" windowWidth="25020" windowHeight="10800" activeTab="2"/>
  </bookViews>
  <sheets>
    <sheet name="Page1" sheetId="1" r:id="rId1"/>
    <sheet name="page2" sheetId="4" r:id="rId2"/>
    <sheet name="Page3-4" sheetId="8" r:id="rId3"/>
    <sheet name="Page5" sheetId="9" r:id="rId4"/>
    <sheet name="Page6" sheetId="5" r:id="rId5"/>
    <sheet name="Page7" sheetId="12" r:id="rId6"/>
  </sheets>
  <externalReferences>
    <externalReference r:id="rId7"/>
  </externalReferences>
  <definedNames>
    <definedName name="_xlnm.Print_Area" localSheetId="0">Page1!$A$1:$L$42</definedName>
    <definedName name="_xlnm.Print_Area" localSheetId="1">page2!$A$1:$L$39</definedName>
    <definedName name="_xlnm.Print_Area" localSheetId="2">'Page3-4'!$A$1:$L$93</definedName>
    <definedName name="_xlnm.Print_Area" localSheetId="4">Page6!$A$1:$L$49</definedName>
    <definedName name="_xlnm.Print_Area" localSheetId="5">Page7!$A$1:$J$47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8" l="1"/>
  <c r="D26" i="12"/>
  <c r="C27" i="12"/>
  <c r="C28" i="12" s="1"/>
  <c r="D33" i="12"/>
  <c r="E33" i="12" s="1"/>
  <c r="J33" i="12"/>
  <c r="D34" i="12"/>
  <c r="G34" i="12" s="1"/>
  <c r="F34" i="12"/>
  <c r="J34" i="12"/>
  <c r="D35" i="12"/>
  <c r="F35" i="12" s="1"/>
  <c r="J35" i="12"/>
  <c r="D36" i="12"/>
  <c r="F36" i="12" s="1"/>
  <c r="E36" i="12"/>
  <c r="H36" i="12"/>
  <c r="J36" i="12"/>
  <c r="D37" i="12"/>
  <c r="E37" i="12" s="1"/>
  <c r="J37" i="12"/>
  <c r="D38" i="12"/>
  <c r="G38" i="12" s="1"/>
  <c r="J38" i="12"/>
  <c r="C39" i="12"/>
  <c r="D39" i="12" s="1"/>
  <c r="D40" i="12"/>
  <c r="E40" i="12" s="1"/>
  <c r="J40" i="12"/>
  <c r="D41" i="12"/>
  <c r="E41" i="12" s="1"/>
  <c r="J41" i="12"/>
  <c r="D42" i="12"/>
  <c r="F42" i="12" s="1"/>
  <c r="J42" i="12"/>
  <c r="D43" i="12"/>
  <c r="E43" i="12" s="1"/>
  <c r="J43" i="12"/>
  <c r="D44" i="12"/>
  <c r="E44" i="12" s="1"/>
  <c r="J44" i="12"/>
  <c r="D45" i="12"/>
  <c r="E45" i="12" s="1"/>
  <c r="J45" i="12"/>
  <c r="D46" i="12"/>
  <c r="F46" i="12" s="1"/>
  <c r="J46" i="12"/>
  <c r="D47" i="12"/>
  <c r="E47" i="12" s="1"/>
  <c r="F47" i="12"/>
  <c r="J47" i="12"/>
  <c r="H47" i="12" l="1"/>
  <c r="E34" i="12"/>
  <c r="G47" i="12"/>
  <c r="J39" i="12"/>
  <c r="H35" i="12"/>
  <c r="F38" i="12"/>
  <c r="H43" i="12"/>
  <c r="E38" i="12"/>
  <c r="G43" i="12"/>
  <c r="F43" i="12"/>
  <c r="F40" i="12"/>
  <c r="E35" i="12"/>
  <c r="F44" i="12"/>
  <c r="E39" i="12"/>
  <c r="F39" i="12"/>
  <c r="G39" i="12"/>
  <c r="H39" i="12"/>
  <c r="H44" i="12"/>
  <c r="H40" i="12"/>
  <c r="G35" i="12"/>
  <c r="G44" i="12"/>
  <c r="G40" i="12"/>
  <c r="E46" i="12"/>
  <c r="E42" i="12"/>
  <c r="G36" i="12"/>
  <c r="H45" i="12"/>
  <c r="G45" i="12"/>
  <c r="G41" i="12"/>
  <c r="H37" i="12"/>
  <c r="H33" i="12"/>
  <c r="H41" i="12"/>
  <c r="H46" i="12"/>
  <c r="F45" i="12"/>
  <c r="H42" i="12"/>
  <c r="F41" i="12"/>
  <c r="G37" i="12"/>
  <c r="G33" i="12"/>
  <c r="G46" i="12"/>
  <c r="G42" i="12"/>
  <c r="H38" i="12"/>
  <c r="F37" i="12"/>
  <c r="H34" i="12"/>
  <c r="F33" i="12"/>
  <c r="J33" i="1"/>
  <c r="G35" i="9" l="1"/>
  <c r="F35" i="9"/>
  <c r="E35" i="9"/>
  <c r="J23" i="9"/>
  <c r="I23" i="9"/>
  <c r="H23" i="9"/>
  <c r="G23" i="9"/>
  <c r="F23" i="9"/>
  <c r="E23" i="9"/>
  <c r="D23" i="9"/>
  <c r="C23" i="9"/>
  <c r="K22" i="9"/>
  <c r="K23" i="9" s="1"/>
  <c r="J21" i="9"/>
  <c r="I21" i="9"/>
  <c r="H21" i="9"/>
  <c r="G21" i="9"/>
  <c r="F21" i="9"/>
  <c r="E21" i="9"/>
  <c r="D21" i="9"/>
  <c r="C21" i="9"/>
  <c r="K20" i="9"/>
  <c r="K19" i="9"/>
  <c r="K18" i="9"/>
  <c r="J17" i="9"/>
  <c r="I17" i="9"/>
  <c r="H17" i="9"/>
  <c r="G17" i="9"/>
  <c r="F17" i="9"/>
  <c r="E17" i="9"/>
  <c r="D17" i="9"/>
  <c r="C17" i="9"/>
  <c r="K16" i="9"/>
  <c r="K15" i="9"/>
  <c r="K14" i="9"/>
  <c r="K13" i="9"/>
  <c r="K12" i="9"/>
  <c r="K17" i="9" s="1"/>
  <c r="K11" i="9"/>
  <c r="J10" i="9"/>
  <c r="J24" i="9" s="1"/>
  <c r="I10" i="9"/>
  <c r="I24" i="9" s="1"/>
  <c r="H10" i="9"/>
  <c r="G10" i="9"/>
  <c r="G24" i="9" s="1"/>
  <c r="F10" i="9"/>
  <c r="E10" i="9"/>
  <c r="D10" i="9"/>
  <c r="C10" i="9"/>
  <c r="C24" i="9" s="1"/>
  <c r="K9" i="9"/>
  <c r="K8" i="9"/>
  <c r="K7" i="9"/>
  <c r="K6" i="9"/>
  <c r="J90" i="8"/>
  <c r="I90" i="8"/>
  <c r="H90" i="8"/>
  <c r="G90" i="8"/>
  <c r="F90" i="8"/>
  <c r="E90" i="8"/>
  <c r="D90" i="8"/>
  <c r="C90" i="8"/>
  <c r="L89" i="8"/>
  <c r="K89" i="8"/>
  <c r="L88" i="8"/>
  <c r="K88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I73" i="8"/>
  <c r="L73" i="8" s="1"/>
  <c r="H73" i="8"/>
  <c r="G73" i="8"/>
  <c r="F73" i="8"/>
  <c r="E73" i="8"/>
  <c r="D73" i="8"/>
  <c r="C73" i="8"/>
  <c r="L72" i="8"/>
  <c r="K72" i="8"/>
  <c r="L71" i="8"/>
  <c r="K71" i="8"/>
  <c r="L70" i="8"/>
  <c r="K70" i="8"/>
  <c r="L69" i="8"/>
  <c r="K69" i="8"/>
  <c r="I68" i="8"/>
  <c r="H68" i="8"/>
  <c r="G68" i="8"/>
  <c r="F68" i="8"/>
  <c r="E68" i="8"/>
  <c r="D68" i="8"/>
  <c r="C68" i="8"/>
  <c r="L67" i="8"/>
  <c r="K67" i="8"/>
  <c r="L66" i="8"/>
  <c r="K66" i="8"/>
  <c r="L65" i="8"/>
  <c r="K65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J32" i="8"/>
  <c r="I32" i="8"/>
  <c r="H32" i="8"/>
  <c r="G32" i="8"/>
  <c r="F32" i="8"/>
  <c r="E32" i="8"/>
  <c r="D32" i="8"/>
  <c r="C32" i="8"/>
  <c r="L31" i="8"/>
  <c r="K31" i="8"/>
  <c r="L30" i="8"/>
  <c r="K30" i="8"/>
  <c r="L29" i="8"/>
  <c r="K29" i="8"/>
  <c r="L28" i="8"/>
  <c r="K28" i="8"/>
  <c r="L27" i="8"/>
  <c r="K27" i="8"/>
  <c r="L26" i="8"/>
  <c r="K26" i="8"/>
  <c r="J25" i="8"/>
  <c r="L25" i="8" s="1"/>
  <c r="H25" i="8"/>
  <c r="G25" i="8"/>
  <c r="F25" i="8"/>
  <c r="E25" i="8"/>
  <c r="D25" i="8"/>
  <c r="C25" i="8"/>
  <c r="L24" i="8"/>
  <c r="K24" i="8"/>
  <c r="L23" i="8"/>
  <c r="K23" i="8"/>
  <c r="L22" i="8"/>
  <c r="K22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D13" i="4"/>
  <c r="F11" i="4"/>
  <c r="F10" i="4"/>
  <c r="F9" i="4"/>
  <c r="E8" i="4"/>
  <c r="E13" i="4" s="1"/>
  <c r="F7" i="4"/>
  <c r="F6" i="4"/>
  <c r="K18" i="4"/>
  <c r="L18" i="4"/>
  <c r="G25" i="5"/>
  <c r="E25" i="5"/>
  <c r="D25" i="5"/>
  <c r="E22" i="5"/>
  <c r="D22" i="5"/>
  <c r="G20" i="5"/>
  <c r="E19" i="5"/>
  <c r="D19" i="5"/>
  <c r="G16" i="5"/>
  <c r="G19" i="5" s="1"/>
  <c r="E14" i="5"/>
  <c r="K24" i="4"/>
  <c r="L24" i="4"/>
  <c r="K25" i="4"/>
  <c r="L25" i="4"/>
  <c r="K26" i="4"/>
  <c r="L26" i="4"/>
  <c r="K27" i="4"/>
  <c r="L27" i="4"/>
  <c r="K28" i="4"/>
  <c r="L28" i="4"/>
  <c r="C29" i="4"/>
  <c r="D29" i="4"/>
  <c r="E29" i="4"/>
  <c r="F29" i="4"/>
  <c r="G29" i="4"/>
  <c r="H29" i="4"/>
  <c r="I29" i="4"/>
  <c r="J29" i="4"/>
  <c r="K30" i="4"/>
  <c r="L30" i="4"/>
  <c r="K31" i="4"/>
  <c r="L31" i="4"/>
  <c r="K32" i="4"/>
  <c r="L32" i="4"/>
  <c r="C33" i="4"/>
  <c r="D33" i="4"/>
  <c r="E33" i="4"/>
  <c r="F33" i="4"/>
  <c r="G33" i="4"/>
  <c r="H33" i="4"/>
  <c r="I33" i="4"/>
  <c r="J33" i="4"/>
  <c r="K34" i="4"/>
  <c r="L34" i="4"/>
  <c r="K35" i="4"/>
  <c r="L35" i="4"/>
  <c r="K36" i="4"/>
  <c r="L36" i="4"/>
  <c r="K37" i="4"/>
  <c r="L37" i="4"/>
  <c r="C38" i="4"/>
  <c r="D38" i="4"/>
  <c r="E38" i="4"/>
  <c r="F38" i="4"/>
  <c r="G38" i="4"/>
  <c r="H38" i="4"/>
  <c r="I38" i="4"/>
  <c r="J38" i="4"/>
  <c r="J38" i="1"/>
  <c r="I38" i="1"/>
  <c r="H38" i="1"/>
  <c r="G38" i="1"/>
  <c r="F38" i="1"/>
  <c r="E38" i="1"/>
  <c r="D38" i="1"/>
  <c r="C38" i="1"/>
  <c r="J28" i="1"/>
  <c r="J40" i="1" s="1"/>
  <c r="I28" i="1"/>
  <c r="I40" i="1" s="1"/>
  <c r="H28" i="1"/>
  <c r="H40" i="1" s="1"/>
  <c r="G28" i="1"/>
  <c r="G40" i="1" s="1"/>
  <c r="F28" i="1"/>
  <c r="F40" i="1" s="1"/>
  <c r="E28" i="1"/>
  <c r="E40" i="1" s="1"/>
  <c r="D28" i="1"/>
  <c r="D40" i="1" s="1"/>
  <c r="C28" i="1"/>
  <c r="C40" i="1" s="1"/>
  <c r="G91" i="8" l="1"/>
  <c r="K21" i="9"/>
  <c r="D24" i="9"/>
  <c r="E24" i="9"/>
  <c r="F24" i="9"/>
  <c r="K10" i="9"/>
  <c r="H24" i="9"/>
  <c r="K24" i="9"/>
  <c r="K68" i="8"/>
  <c r="F91" i="8"/>
  <c r="C92" i="8"/>
  <c r="E92" i="8"/>
  <c r="J91" i="8"/>
  <c r="F92" i="8"/>
  <c r="G92" i="8"/>
  <c r="H92" i="8"/>
  <c r="L68" i="8"/>
  <c r="K73" i="8"/>
  <c r="L90" i="8"/>
  <c r="C91" i="8"/>
  <c r="H91" i="8"/>
  <c r="D91" i="8"/>
  <c r="D92" i="8"/>
  <c r="I92" i="8"/>
  <c r="E91" i="8"/>
  <c r="G39" i="4"/>
  <c r="K90" i="8"/>
  <c r="I91" i="8"/>
  <c r="K32" i="8"/>
  <c r="L32" i="8"/>
  <c r="K25" i="8"/>
  <c r="J92" i="8"/>
  <c r="K38" i="4"/>
  <c r="L33" i="4"/>
  <c r="H39" i="4"/>
  <c r="F8" i="4"/>
  <c r="F13" i="4" s="1"/>
  <c r="L29" i="4"/>
  <c r="F39" i="4"/>
  <c r="I39" i="4"/>
  <c r="K33" i="4"/>
  <c r="K29" i="4"/>
  <c r="C39" i="4"/>
  <c r="E39" i="4"/>
  <c r="D39" i="4"/>
  <c r="D26" i="5"/>
  <c r="G22" i="5"/>
  <c r="E26" i="5"/>
  <c r="G14" i="5"/>
  <c r="J39" i="4"/>
  <c r="L38" i="4"/>
  <c r="J42" i="1"/>
  <c r="K28" i="1"/>
  <c r="L28" i="1"/>
  <c r="L91" i="8" l="1"/>
  <c r="L92" i="8"/>
  <c r="K92" i="8"/>
  <c r="K91" i="8"/>
  <c r="G26" i="5"/>
  <c r="K39" i="4"/>
  <c r="L39" i="4"/>
  <c r="J19" i="1"/>
</calcChain>
</file>

<file path=xl/comments1.xml><?xml version="1.0" encoding="utf-8"?>
<comments xmlns="http://schemas.openxmlformats.org/spreadsheetml/2006/main">
  <authors>
    <author>Richard Kirton</author>
  </authors>
  <commentList>
    <comment ref="C16" authorId="0" shapeId="0">
      <text>
        <r>
          <rPr>
            <b/>
            <sz val="9"/>
            <color rgb="FF000000"/>
            <rFont val="Tahoma"/>
            <family val="2"/>
          </rPr>
          <t>Richard Kirton:</t>
        </r>
        <r>
          <rPr>
            <sz val="9"/>
            <color rgb="FF000000"/>
            <rFont val="Tahoma"/>
            <family val="2"/>
          </rPr>
          <t xml:space="preserve">
Includes:
1031.3330.11555 ($405,854.94) PSIC
1031.3380.90 ($45,852) Transit
1032.3110 ($15.93) Prop Taxes
1032.3690 ($3,000) Misc
</t>
        </r>
      </text>
    </comment>
  </commentList>
</comments>
</file>

<file path=xl/sharedStrings.xml><?xml version="1.0" encoding="utf-8"?>
<sst xmlns="http://schemas.openxmlformats.org/spreadsheetml/2006/main" count="536" uniqueCount="356">
  <si>
    <t>Revenues - 1031</t>
  </si>
  <si>
    <t>Actual</t>
  </si>
  <si>
    <t xml:space="preserve">Actual </t>
  </si>
  <si>
    <t xml:space="preserve">Budget </t>
  </si>
  <si>
    <t>Proposed</t>
  </si>
  <si>
    <t>$</t>
  </si>
  <si>
    <t>%</t>
  </si>
  <si>
    <t>Account  Desc</t>
  </si>
  <si>
    <t>308.30.00.00</t>
  </si>
  <si>
    <t>Estimated Beginning Fund Balance</t>
  </si>
  <si>
    <t>337.16.00.00</t>
  </si>
  <si>
    <t xml:space="preserve">Emergency Communications  Sales Tax  </t>
  </si>
  <si>
    <t>337.63,64,65</t>
  </si>
  <si>
    <t>Telephone Excise Taxes (Wireline, Wireless, and VoIP)</t>
  </si>
  <si>
    <t>342.80.50.01</t>
  </si>
  <si>
    <t>User Fees (County,Cities, Fire Districts, Tribes)</t>
  </si>
  <si>
    <t>342.80.50.02</t>
  </si>
  <si>
    <t>Contract Revenues (Navy, BIAA and Humane Society)</t>
  </si>
  <si>
    <t>362.50.00.00</t>
  </si>
  <si>
    <t>Tower Leases</t>
  </si>
  <si>
    <t>342.80.40.02</t>
  </si>
  <si>
    <t>Other Interfund/Dept Chgs/DEM</t>
  </si>
  <si>
    <t>334.01.84.00</t>
  </si>
  <si>
    <t>State E911 CPD Contract KC  (Wa State Military)</t>
  </si>
  <si>
    <t>361.11.00.00</t>
  </si>
  <si>
    <t xml:space="preserve">Investment Interest       </t>
  </si>
  <si>
    <t>Interfund from KCIS for PBX use</t>
  </si>
  <si>
    <t>Sub-Total (Operating Revenues)</t>
  </si>
  <si>
    <t>369.91.00.00</t>
  </si>
  <si>
    <t>Grants and Other One-Time Revenues</t>
  </si>
  <si>
    <t>342.10.50.00</t>
  </si>
  <si>
    <t>MCT Reimbursements</t>
  </si>
  <si>
    <t>Sub-Total (All Revenues)</t>
  </si>
  <si>
    <t>Total (All Revenues + Beg. Fund Balance)</t>
  </si>
  <si>
    <t xml:space="preserve">          Appropriation Summary</t>
  </si>
  <si>
    <t xml:space="preserve"> </t>
  </si>
  <si>
    <t>Budget</t>
  </si>
  <si>
    <t>Delta</t>
  </si>
  <si>
    <t>Cost Center</t>
  </si>
  <si>
    <t xml:space="preserve">Bond Debt Payments  </t>
  </si>
  <si>
    <t>911 Operations</t>
  </si>
  <si>
    <t>MCT System and I-Leads</t>
  </si>
  <si>
    <t>Sub-Total (Operating Expenses)</t>
  </si>
  <si>
    <t>Capital Expenses, Technical Improvements, Major Equip Replacement</t>
  </si>
  <si>
    <t xml:space="preserve">Proposed </t>
  </si>
  <si>
    <t>Misc. Technical Improvements</t>
  </si>
  <si>
    <t>Simon Point/Backup Center</t>
  </si>
  <si>
    <t>ACOM Repl.</t>
  </si>
  <si>
    <t>Next Generation 911</t>
  </si>
  <si>
    <t>MCT Replacement</t>
  </si>
  <si>
    <t>Sub-Total (Improvements)</t>
  </si>
  <si>
    <t>Total Appropriation Request</t>
  </si>
  <si>
    <t>Estimated Ending Fund Balance</t>
  </si>
  <si>
    <t>Total Appropriation Plus Ending Fund Balance</t>
  </si>
  <si>
    <t>Projected</t>
  </si>
  <si>
    <t>End Balance</t>
  </si>
  <si>
    <t>Adjustments</t>
  </si>
  <si>
    <t>Description</t>
  </si>
  <si>
    <t>Stabilization Fund</t>
  </si>
  <si>
    <t>NG 911 Upgrade Fund</t>
  </si>
  <si>
    <t>Contingency</t>
  </si>
  <si>
    <t>Backup Center</t>
  </si>
  <si>
    <t>Unreserved</t>
  </si>
  <si>
    <t xml:space="preserve">Projected </t>
  </si>
  <si>
    <t xml:space="preserve">Bond Debt Pmts </t>
  </si>
  <si>
    <t>Delta $</t>
  </si>
  <si>
    <t>Delta %</t>
  </si>
  <si>
    <t>528.32.10.00</t>
  </si>
  <si>
    <t>Regular Salaries</t>
  </si>
  <si>
    <t>528.32.10.01</t>
  </si>
  <si>
    <t>Overtime Pay</t>
  </si>
  <si>
    <t>528.32.10.02</t>
  </si>
  <si>
    <t>Longevity Pay</t>
  </si>
  <si>
    <t>528.32.10.03</t>
  </si>
  <si>
    <t>Sick Leave Payout</t>
  </si>
  <si>
    <t>528.32.10.04</t>
  </si>
  <si>
    <t>Annual Leave Payout</t>
  </si>
  <si>
    <t>528.32.10.05</t>
  </si>
  <si>
    <t>Shift Differential Pay</t>
  </si>
  <si>
    <t>528.32.10.06</t>
  </si>
  <si>
    <t>Extra Help</t>
  </si>
  <si>
    <t>528.32.10.07</t>
  </si>
  <si>
    <t>Out of Class Pay</t>
  </si>
  <si>
    <t>528.32.10.08</t>
  </si>
  <si>
    <t>Miscellaneous Pay</t>
  </si>
  <si>
    <t>528.32.20.00</t>
  </si>
  <si>
    <t>Industrial Insurance</t>
  </si>
  <si>
    <t>528.32.20.01</t>
  </si>
  <si>
    <t>Social Security</t>
  </si>
  <si>
    <t>528.32.20.02</t>
  </si>
  <si>
    <t>PERS Retirement</t>
  </si>
  <si>
    <t>528.32.20.09</t>
  </si>
  <si>
    <t>LEOFF Retirement</t>
  </si>
  <si>
    <t>528.32.20.03</t>
  </si>
  <si>
    <t>Medical Insurance</t>
  </si>
  <si>
    <t>528.32.20.04</t>
  </si>
  <si>
    <t>Dental Insurance</t>
  </si>
  <si>
    <t>528.32.20.05</t>
  </si>
  <si>
    <t>Life Insurance</t>
  </si>
  <si>
    <t>528.32.20.08</t>
  </si>
  <si>
    <t>Unemployment Compensation</t>
  </si>
  <si>
    <t>Insurance Benefits</t>
  </si>
  <si>
    <t>Salary/Benefit Attrition</t>
  </si>
  <si>
    <t>Wages, Salaries, and Benefits Total</t>
  </si>
  <si>
    <t>528.32.31</t>
  </si>
  <si>
    <t>Office/Operating Supplies</t>
  </si>
  <si>
    <t>528.32.32</t>
  </si>
  <si>
    <t>Fuel Consumed</t>
  </si>
  <si>
    <t>528.32.35.00</t>
  </si>
  <si>
    <t>Small Tools &amp; Equipment</t>
  </si>
  <si>
    <t>528.32.35.01</t>
  </si>
  <si>
    <t>Computer Software</t>
  </si>
  <si>
    <t>528.32.35.02</t>
  </si>
  <si>
    <t>Small Computer Equipment</t>
  </si>
  <si>
    <t>528.32.35.03</t>
  </si>
  <si>
    <t>Small Telephone Equipment</t>
  </si>
  <si>
    <t>Supplies Total</t>
  </si>
  <si>
    <t>528.32.41.00</t>
  </si>
  <si>
    <t>Engineering &amp; Architectural</t>
  </si>
  <si>
    <t>528.32.41.01</t>
  </si>
  <si>
    <t>Applicant Medical Screening</t>
  </si>
  <si>
    <t>528.32.41.02</t>
  </si>
  <si>
    <t>Management Consulting</t>
  </si>
  <si>
    <t>528.32.41.03</t>
  </si>
  <si>
    <t>Special Legal Services</t>
  </si>
  <si>
    <t>528.32.41.04</t>
  </si>
  <si>
    <t>Other Professional Service</t>
  </si>
  <si>
    <t>528.32.42.00</t>
  </si>
  <si>
    <t>Telephone</t>
  </si>
  <si>
    <t>528.32.42.01</t>
  </si>
  <si>
    <t>Cellular Telephone</t>
  </si>
  <si>
    <t>528.32.42.02</t>
  </si>
  <si>
    <t>Postage</t>
  </si>
  <si>
    <t>528.32.43.00</t>
  </si>
  <si>
    <t>Mileage</t>
  </si>
  <si>
    <t>528.32.43.01</t>
  </si>
  <si>
    <t>Travel</t>
  </si>
  <si>
    <t>528.32.43.02</t>
  </si>
  <si>
    <t>Per Diem</t>
  </si>
  <si>
    <t>528.32.43.03</t>
  </si>
  <si>
    <t>Non-Employee Mileage</t>
  </si>
  <si>
    <t>528.32.43.04</t>
  </si>
  <si>
    <t>Non Employee Travel</t>
  </si>
  <si>
    <t>528.32.41.05</t>
  </si>
  <si>
    <t>Advertising</t>
  </si>
  <si>
    <t>528.32.45.00</t>
  </si>
  <si>
    <t>Operating Rentals &amp; Leases</t>
  </si>
  <si>
    <t>528.32.46.00</t>
  </si>
  <si>
    <t>Insurance</t>
  </si>
  <si>
    <t>528.32.47.01</t>
  </si>
  <si>
    <t>Water</t>
  </si>
  <si>
    <t>528.32.47.02</t>
  </si>
  <si>
    <t>Sewer</t>
  </si>
  <si>
    <t>528.32.47</t>
  </si>
  <si>
    <t>Electricity</t>
  </si>
  <si>
    <t>528.32.47.05</t>
  </si>
  <si>
    <t>Waste Disposal</t>
  </si>
  <si>
    <t>528.32.47.06</t>
  </si>
  <si>
    <t>Cable TV</t>
  </si>
  <si>
    <t>528.32.48.00</t>
  </si>
  <si>
    <t>Repairs &amp; Maint-Building</t>
  </si>
  <si>
    <t>528.32.48.01</t>
  </si>
  <si>
    <t>Repairs &amp; Maint-Improvemen</t>
  </si>
  <si>
    <t>528.32.48.02</t>
  </si>
  <si>
    <t>Repairs &amp; Maint-Equipment</t>
  </si>
  <si>
    <t>528.32.48.03</t>
  </si>
  <si>
    <t>Repairs &amp; Maint-Comp Equip</t>
  </si>
  <si>
    <t>528.32.49.00</t>
  </si>
  <si>
    <t>Dues/Subscriptions/Members</t>
  </si>
  <si>
    <t>528.32.49.01</t>
  </si>
  <si>
    <t>Bank &amp; Credit Card</t>
  </si>
  <si>
    <t>528.32.49.02</t>
  </si>
  <si>
    <t>Printing &amp; Binding</t>
  </si>
  <si>
    <t>528.32.49.03</t>
  </si>
  <si>
    <t>Registration &amp; Tuition</t>
  </si>
  <si>
    <t>528.32.49.04</t>
  </si>
  <si>
    <t>Other Miscellaneous</t>
  </si>
  <si>
    <t>Services Total</t>
  </si>
  <si>
    <t>594.28.60.00</t>
  </si>
  <si>
    <t>Buildings &amp; Structures</t>
  </si>
  <si>
    <t>594.28.60.01</t>
  </si>
  <si>
    <t>Other Improvements</t>
  </si>
  <si>
    <t>594.28.60.02</t>
  </si>
  <si>
    <t>Computer Equipment</t>
  </si>
  <si>
    <t>594.28.60.03</t>
  </si>
  <si>
    <t>Other Machinery &amp; Equipmen</t>
  </si>
  <si>
    <t>Capital Outlay Total</t>
  </si>
  <si>
    <t>528.32.41.10</t>
  </si>
  <si>
    <t>I/F Info Ser  Service Charge</t>
  </si>
  <si>
    <t>528.32.41.11</t>
  </si>
  <si>
    <t>I/F Info Ser Prog Maint &amp;</t>
  </si>
  <si>
    <t>528.32.41.12</t>
  </si>
  <si>
    <t>I/F Info Serv Computer Mai</t>
  </si>
  <si>
    <t>528.32.41.14</t>
  </si>
  <si>
    <t>528.32.41.15</t>
  </si>
  <si>
    <t>I/F GIS Service Charges</t>
  </si>
  <si>
    <t>528.32.41.16</t>
  </si>
  <si>
    <t>Mapping Services</t>
  </si>
  <si>
    <t>528.32.41.17</t>
  </si>
  <si>
    <t>Other I/F Professional Cha</t>
  </si>
  <si>
    <t>528.32.41.18</t>
  </si>
  <si>
    <t>I/F Communications</t>
  </si>
  <si>
    <t>528.32.41.19</t>
  </si>
  <si>
    <t>I/S I.S. Projects</t>
  </si>
  <si>
    <t>528.32.41.20</t>
  </si>
  <si>
    <t>I/F Supplies</t>
  </si>
  <si>
    <t>528.32.41.21</t>
  </si>
  <si>
    <t>I/F Operating Rentals &amp; Le</t>
  </si>
  <si>
    <t>528.32.41.22</t>
  </si>
  <si>
    <t>I/F Insurance Services</t>
  </si>
  <si>
    <t>528.32.41.23</t>
  </si>
  <si>
    <t>I/F Repairs &amp; Maintenance</t>
  </si>
  <si>
    <t>I/F Training</t>
  </si>
  <si>
    <t>I/F Dues</t>
  </si>
  <si>
    <t>528.32.41.24</t>
  </si>
  <si>
    <t>I/F Indirect Cost Allocati</t>
  </si>
  <si>
    <t>Payments To Kitsap County Total</t>
  </si>
  <si>
    <t>Sub Total - Supplies, Svcs, Capital, I/F</t>
  </si>
  <si>
    <t>Total Appropriation Request for 1032 (Operations)</t>
  </si>
  <si>
    <t>Operating Expenses</t>
  </si>
  <si>
    <t>Misc. Tech Enhancements</t>
  </si>
  <si>
    <t>Essential Equip. Repl.</t>
  </si>
  <si>
    <t>Fund Balance/Reserves</t>
  </si>
  <si>
    <t xml:space="preserve">1032 (911 Operations) </t>
  </si>
  <si>
    <t>Rev 6/29/16</t>
  </si>
  <si>
    <t>Actual*</t>
  </si>
  <si>
    <t>ACTUAL</t>
  </si>
  <si>
    <t>Account  Number</t>
  </si>
  <si>
    <t>528.33.31</t>
  </si>
  <si>
    <t>Office Supplies</t>
  </si>
  <si>
    <t>528.33.35.00</t>
  </si>
  <si>
    <t>Small Tools and Equipment</t>
  </si>
  <si>
    <t>528.33.35.01</t>
  </si>
  <si>
    <t>528.33.35.02</t>
  </si>
  <si>
    <t>528.33.35.03</t>
  </si>
  <si>
    <t>528.33.42.01</t>
  </si>
  <si>
    <t>528.33.48.02</t>
  </si>
  <si>
    <t>Repairs &amp; Maint- Equipment</t>
  </si>
  <si>
    <t>528.33.48.03</t>
  </si>
  <si>
    <t>528.33.41.11</t>
  </si>
  <si>
    <t>I/S I/Leads Passthrough</t>
  </si>
  <si>
    <t>528.33.41.13</t>
  </si>
  <si>
    <t>I/S MCT Network and Support</t>
  </si>
  <si>
    <t>528.33.41.15</t>
  </si>
  <si>
    <t>528.33.41.16</t>
  </si>
  <si>
    <t>Total Appropriation Request for 1033 (MCT/Ileads)</t>
  </si>
  <si>
    <t xml:space="preserve"> 1031 (Debt Service)</t>
  </si>
  <si>
    <t>1033 (MCT System and I-Leads)</t>
  </si>
  <si>
    <t>Map Enhancements</t>
  </si>
  <si>
    <t>Tower Site Improvements</t>
  </si>
  <si>
    <t>Equip Maint &amp; Repl</t>
  </si>
  <si>
    <t>Two-Factor Authentication</t>
  </si>
  <si>
    <t xml:space="preserve">911 Carver </t>
  </si>
  <si>
    <t>Radio System</t>
  </si>
  <si>
    <t>Generators</t>
  </si>
  <si>
    <t>NPRV Reim &amp; contingency</t>
  </si>
  <si>
    <t>Total</t>
  </si>
  <si>
    <t>Account #</t>
  </si>
  <si>
    <t>Account Description</t>
  </si>
  <si>
    <t>All Projects</t>
  </si>
  <si>
    <t>528.34.35.00</t>
  </si>
  <si>
    <t>528.34.35.01</t>
  </si>
  <si>
    <t>Fuel</t>
  </si>
  <si>
    <t>528.34.35.02</t>
  </si>
  <si>
    <t>Small Computer Equipment(MCT reimbursable)</t>
  </si>
  <si>
    <t>Total Supplies</t>
  </si>
  <si>
    <t>528.34.41.00</t>
  </si>
  <si>
    <t>528.34.41.04</t>
  </si>
  <si>
    <t>528.34.48.00</t>
  </si>
  <si>
    <t>528.34.48.01</t>
  </si>
  <si>
    <t>Repairs &amp; Maint-Improvements</t>
  </si>
  <si>
    <t>528.34.48.02</t>
  </si>
  <si>
    <t>528.34.49.04</t>
  </si>
  <si>
    <t>Total Services</t>
  </si>
  <si>
    <t>Total Capital</t>
  </si>
  <si>
    <t>528.34.41.16</t>
  </si>
  <si>
    <t>Total Pmts to Kitsap County</t>
  </si>
  <si>
    <t>Total Approp Request for 1034 (Misc Tech Proj)</t>
  </si>
  <si>
    <t>1034 (Misc. Technical Projects &amp; Major Equip Replacement)</t>
  </si>
  <si>
    <t xml:space="preserve">Original </t>
  </si>
  <si>
    <t>BUDGET</t>
  </si>
  <si>
    <t>528.35.41.00</t>
  </si>
  <si>
    <t>528.35.41.04</t>
  </si>
  <si>
    <t>Other Professional Services</t>
  </si>
  <si>
    <t>528.35.41.10</t>
  </si>
  <si>
    <t>Other I/F Professional Service</t>
  </si>
  <si>
    <t>Total Appropriation Request for 1035 (Backup Ctr)</t>
  </si>
  <si>
    <t xml:space="preserve">1035 (911 Backup Center) </t>
  </si>
  <si>
    <t>Supplies and Services</t>
  </si>
  <si>
    <t>Estimated</t>
  </si>
  <si>
    <t>528.37.10.00</t>
  </si>
  <si>
    <t>528.37.10.02</t>
  </si>
  <si>
    <t>528.37.10.03</t>
  </si>
  <si>
    <t>528.37.10.08</t>
  </si>
  <si>
    <t>Misc Pay</t>
  </si>
  <si>
    <t>528.37.20.00</t>
  </si>
  <si>
    <t>528.37.20.01</t>
  </si>
  <si>
    <t>528.37.20.02</t>
  </si>
  <si>
    <t>528.37.35.00</t>
  </si>
  <si>
    <t>528.37.35.01</t>
  </si>
  <si>
    <t>528.37.35.02</t>
  </si>
  <si>
    <t>528.37.35.03</t>
  </si>
  <si>
    <t>528.37.41.04</t>
  </si>
  <si>
    <t>528.37.49.04</t>
  </si>
  <si>
    <t>Medical Benefits</t>
  </si>
  <si>
    <t>1037 (Next Generation 911)</t>
  </si>
  <si>
    <t>Original</t>
  </si>
  <si>
    <t>Estimate</t>
  </si>
  <si>
    <t>Total Appropriation Request for 1037 (NG911)</t>
  </si>
  <si>
    <t>All</t>
  </si>
  <si>
    <t>MSAG/</t>
  </si>
  <si>
    <t>Finish</t>
  </si>
  <si>
    <t>528.38.35.02</t>
  </si>
  <si>
    <t>Small Computer Equipment Total</t>
  </si>
  <si>
    <t>Page 2</t>
  </si>
  <si>
    <t>Page 1</t>
  </si>
  <si>
    <t>Page 3</t>
  </si>
  <si>
    <t>Page 4</t>
  </si>
  <si>
    <t>Page 5</t>
  </si>
  <si>
    <t>Page 6</t>
  </si>
  <si>
    <t>Units of Use</t>
  </si>
  <si>
    <t>Cost/Unit</t>
  </si>
  <si>
    <t>Calls for Service</t>
  </si>
  <si>
    <t>Surcharge/Unit</t>
  </si>
  <si>
    <t>Surcharges</t>
  </si>
  <si>
    <t>Agency Fee</t>
  </si>
  <si>
    <t>2016 Allocations</t>
  </si>
  <si>
    <t>2017 Allocations</t>
  </si>
  <si>
    <t>Kitsap Coroner</t>
  </si>
  <si>
    <t>Poulsbo PD</t>
  </si>
  <si>
    <t>Bainbridge Island PD</t>
  </si>
  <si>
    <t>Port Orchard PD</t>
  </si>
  <si>
    <t>Suquamish PD</t>
  </si>
  <si>
    <t>Pt. Gamble PD</t>
  </si>
  <si>
    <t>Bremerton PD</t>
  </si>
  <si>
    <t>Bremerton Fire</t>
  </si>
  <si>
    <t>North Kitsap F&amp;R</t>
  </si>
  <si>
    <t>Port Gamble Fire</t>
  </si>
  <si>
    <t>Central Kitsap F&amp;R</t>
  </si>
  <si>
    <t>South Kitsap F&amp;R</t>
  </si>
  <si>
    <t>Poulsbo Fire/FD18</t>
  </si>
  <si>
    <t>Bainbridge Island Fire</t>
  </si>
  <si>
    <t>Totals</t>
  </si>
  <si>
    <t>Other Machinery &amp; Equipment</t>
  </si>
  <si>
    <t>DELTA</t>
  </si>
  <si>
    <t>KCSO</t>
  </si>
  <si>
    <t>Kitsap CORONER</t>
  </si>
  <si>
    <t>Average</t>
  </si>
  <si>
    <t>Bainbridge Is. PD</t>
  </si>
  <si>
    <t>Port Gamble PD</t>
  </si>
  <si>
    <t>Agency Allocations (User Fees)</t>
  </si>
  <si>
    <t>OR</t>
  </si>
  <si>
    <t>Note:  2016 Allocations do not include MCT Surcharges</t>
  </si>
  <si>
    <t>Page 7</t>
  </si>
  <si>
    <t>MCT Replacement Fund</t>
  </si>
  <si>
    <t xml:space="preserve">Total Appropriation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</si>
</sst>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_(&quot;$&quot;* #,##0.000_);_(&quot;$&quot;* \(#,##0.0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403151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theme="1"/>
      <name val="Arial"/>
      <family val="2"/>
    </font>
    <font>
      <sz val="22"/>
      <name val="Arial"/>
      <family val="2"/>
    </font>
    <font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/>
    <xf numFmtId="3" fontId="3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3" fontId="4" fillId="0" borderId="13" xfId="0" applyNumberFormat="1" applyFont="1" applyFill="1" applyBorder="1" applyProtection="1">
      <protection locked="0"/>
    </xf>
    <xf numFmtId="3" fontId="4" fillId="0" borderId="6" xfId="0" applyNumberFormat="1" applyFont="1" applyFill="1" applyBorder="1" applyProtection="1">
      <protection locked="0"/>
    </xf>
    <xf numFmtId="0" fontId="3" fillId="0" borderId="6" xfId="0" quotePrefix="1" applyFont="1" applyFill="1" applyBorder="1" applyAlignment="1" applyProtection="1">
      <alignment horizontal="left"/>
      <protection locked="0"/>
    </xf>
    <xf numFmtId="0" fontId="3" fillId="0" borderId="5" xfId="0" applyFont="1" applyFill="1" applyBorder="1" applyProtection="1">
      <protection locked="0"/>
    </xf>
    <xf numFmtId="3" fontId="3" fillId="0" borderId="3" xfId="0" applyNumberFormat="1" applyFont="1" applyFill="1" applyBorder="1" applyProtection="1">
      <protection locked="0"/>
    </xf>
    <xf numFmtId="166" fontId="3" fillId="0" borderId="3" xfId="0" applyNumberFormat="1" applyFont="1" applyFill="1" applyBorder="1" applyProtection="1">
      <protection locked="0"/>
    </xf>
    <xf numFmtId="3" fontId="3" fillId="0" borderId="4" xfId="0" applyNumberFormat="1" applyFont="1" applyFill="1" applyBorder="1" applyProtection="1">
      <protection locked="0"/>
    </xf>
    <xf numFmtId="165" fontId="3" fillId="0" borderId="7" xfId="3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166" fontId="3" fillId="0" borderId="1" xfId="0" applyNumberFormat="1" applyFont="1" applyFill="1" applyBorder="1" applyProtection="1">
      <protection locked="0"/>
    </xf>
    <xf numFmtId="3" fontId="3" fillId="0" borderId="8" xfId="0" applyNumberFormat="1" applyFont="1" applyFill="1" applyBorder="1" applyProtection="1">
      <protection locked="0"/>
    </xf>
    <xf numFmtId="166" fontId="4" fillId="0" borderId="6" xfId="1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6" fontId="0" fillId="0" borderId="0" xfId="0" applyNumberFormat="1"/>
    <xf numFmtId="44" fontId="0" fillId="0" borderId="0" xfId="0" applyNumberFormat="1"/>
    <xf numFmtId="0" fontId="3" fillId="3" borderId="5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164" fontId="4" fillId="3" borderId="0" xfId="2" applyNumberFormat="1" applyFont="1" applyFill="1" applyBorder="1" applyAlignment="1" applyProtection="1">
      <alignment horizontal="center"/>
      <protection locked="0"/>
    </xf>
    <xf numFmtId="3" fontId="4" fillId="3" borderId="0" xfId="0" applyNumberFormat="1" applyFont="1" applyFill="1" applyBorder="1" applyAlignment="1" applyProtection="1">
      <alignment horizontal="center"/>
      <protection locked="0"/>
    </xf>
    <xf numFmtId="3" fontId="4" fillId="3" borderId="6" xfId="0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2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0" fontId="3" fillId="4" borderId="9" xfId="0" quotePrefix="1" applyFont="1" applyFill="1" applyBorder="1" applyProtection="1"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1" xfId="0" applyFont="1" applyFill="1" applyBorder="1" applyProtection="1">
      <protection locked="0"/>
    </xf>
    <xf numFmtId="166" fontId="4" fillId="4" borderId="11" xfId="1" applyNumberFormat="1" applyFont="1" applyFill="1" applyBorder="1" applyProtection="1">
      <protection locked="0"/>
    </xf>
    <xf numFmtId="165" fontId="3" fillId="4" borderId="12" xfId="3" applyNumberFormat="1" applyFont="1" applyFill="1" applyBorder="1" applyProtection="1">
      <protection locked="0"/>
    </xf>
    <xf numFmtId="41" fontId="3" fillId="0" borderId="0" xfId="0" applyNumberFormat="1" applyFont="1" applyFill="1" applyBorder="1" applyProtection="1"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3" fontId="3" fillId="3" borderId="11" xfId="2" applyNumberFormat="1" applyFont="1" applyFill="1" applyBorder="1" applyProtection="1">
      <protection locked="0"/>
    </xf>
    <xf numFmtId="166" fontId="3" fillId="3" borderId="11" xfId="2" applyNumberFormat="1" applyFont="1" applyFill="1" applyBorder="1" applyProtection="1">
      <protection locked="0"/>
    </xf>
    <xf numFmtId="165" fontId="3" fillId="3" borderId="12" xfId="3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166" fontId="3" fillId="3" borderId="11" xfId="1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3" fontId="3" fillId="2" borderId="11" xfId="1" applyNumberFormat="1" applyFont="1" applyFill="1" applyBorder="1" applyProtection="1">
      <protection locked="0"/>
    </xf>
    <xf numFmtId="3" fontId="3" fillId="2" borderId="12" xfId="1" applyNumberFormat="1" applyFont="1" applyFill="1" applyBorder="1" applyProtection="1">
      <protection locked="0"/>
    </xf>
    <xf numFmtId="41" fontId="3" fillId="2" borderId="10" xfId="0" applyNumberFormat="1" applyFont="1" applyFill="1" applyBorder="1" applyProtection="1">
      <protection locked="0"/>
    </xf>
    <xf numFmtId="165" fontId="3" fillId="2" borderId="12" xfId="3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3" borderId="5" xfId="0" applyFont="1" applyFill="1" applyBorder="1"/>
    <xf numFmtId="0" fontId="3" fillId="3" borderId="27" xfId="0" applyFont="1" applyFill="1" applyBorder="1"/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 applyProtection="1">
      <alignment horizontal="center"/>
      <protection locked="0"/>
    </xf>
    <xf numFmtId="3" fontId="4" fillId="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9" xfId="0" applyNumberFormat="1" applyFont="1" applyFill="1" applyBorder="1" applyAlignment="1" applyProtection="1">
      <alignment horizontal="center"/>
      <protection locked="0"/>
    </xf>
    <xf numFmtId="0" fontId="4" fillId="3" borderId="29" xfId="0" applyNumberFormat="1" applyFont="1" applyFill="1" applyBorder="1" applyAlignment="1" applyProtection="1">
      <alignment horizontal="center"/>
      <protection locked="0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9" fillId="3" borderId="28" xfId="0" applyNumberFormat="1" applyFont="1" applyFill="1" applyBorder="1" applyAlignment="1">
      <alignment horizontal="center"/>
    </xf>
    <xf numFmtId="0" fontId="9" fillId="3" borderId="30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/>
    <xf numFmtId="166" fontId="3" fillId="0" borderId="21" xfId="1" applyNumberFormat="1" applyFont="1" applyFill="1" applyBorder="1"/>
    <xf numFmtId="166" fontId="3" fillId="0" borderId="20" xfId="1" applyNumberFormat="1" applyFont="1" applyFill="1" applyBorder="1"/>
    <xf numFmtId="3" fontId="4" fillId="0" borderId="31" xfId="0" applyNumberFormat="1" applyFont="1" applyFill="1" applyBorder="1"/>
    <xf numFmtId="41" fontId="3" fillId="0" borderId="19" xfId="0" applyNumberFormat="1" applyFont="1" applyFill="1" applyBorder="1"/>
    <xf numFmtId="165" fontId="3" fillId="0" borderId="23" xfId="3" applyNumberFormat="1" applyFont="1" applyFill="1" applyBorder="1"/>
    <xf numFmtId="0" fontId="3" fillId="0" borderId="19" xfId="0" applyFont="1" applyFill="1" applyBorder="1" applyProtection="1"/>
    <xf numFmtId="0" fontId="3" fillId="0" borderId="20" xfId="0" applyFont="1" applyFill="1" applyBorder="1" applyProtection="1"/>
    <xf numFmtId="166" fontId="3" fillId="0" borderId="21" xfId="1" applyNumberFormat="1" applyFont="1" applyFill="1" applyBorder="1" applyProtection="1"/>
    <xf numFmtId="166" fontId="3" fillId="0" borderId="20" xfId="1" applyNumberFormat="1" applyFont="1" applyFill="1" applyBorder="1" applyProtection="1"/>
    <xf numFmtId="3" fontId="4" fillId="0" borderId="31" xfId="1" applyNumberFormat="1" applyFont="1" applyFill="1" applyBorder="1" applyProtection="1"/>
    <xf numFmtId="0" fontId="3" fillId="0" borderId="32" xfId="0" applyFont="1" applyFill="1" applyBorder="1" applyProtection="1"/>
    <xf numFmtId="0" fontId="3" fillId="0" borderId="33" xfId="0" applyFont="1" applyFill="1" applyBorder="1" applyProtection="1"/>
    <xf numFmtId="166" fontId="3" fillId="0" borderId="34" xfId="1" applyNumberFormat="1" applyFont="1" applyFill="1" applyBorder="1" applyProtection="1"/>
    <xf numFmtId="166" fontId="3" fillId="0" borderId="33" xfId="1" applyNumberFormat="1" applyFont="1" applyFill="1" applyBorder="1" applyProtection="1"/>
    <xf numFmtId="3" fontId="4" fillId="0" borderId="35" xfId="1" applyNumberFormat="1" applyFont="1" applyFill="1" applyBorder="1" applyProtection="1"/>
    <xf numFmtId="41" fontId="3" fillId="0" borderId="32" xfId="0" applyNumberFormat="1" applyFont="1" applyFill="1" applyBorder="1"/>
    <xf numFmtId="165" fontId="3" fillId="0" borderId="36" xfId="3" applyNumberFormat="1" applyFont="1" applyFill="1" applyBorder="1"/>
    <xf numFmtId="164" fontId="3" fillId="2" borderId="37" xfId="2" applyNumberFormat="1" applyFont="1" applyFill="1" applyBorder="1" applyAlignment="1"/>
    <xf numFmtId="166" fontId="3" fillId="2" borderId="37" xfId="2" applyNumberFormat="1" applyFont="1" applyFill="1" applyBorder="1" applyAlignment="1"/>
    <xf numFmtId="164" fontId="3" fillId="2" borderId="38" xfId="2" applyNumberFormat="1" applyFont="1" applyFill="1" applyBorder="1"/>
    <xf numFmtId="164" fontId="4" fillId="2" borderId="9" xfId="2" applyNumberFormat="1" applyFont="1" applyFill="1" applyBorder="1"/>
    <xf numFmtId="164" fontId="3" fillId="2" borderId="39" xfId="2" applyNumberFormat="1" applyFont="1" applyFill="1" applyBorder="1"/>
    <xf numFmtId="165" fontId="3" fillId="2" borderId="40" xfId="3" applyNumberFormat="1" applyFont="1" applyFill="1" applyBorder="1"/>
    <xf numFmtId="3" fontId="3" fillId="0" borderId="0" xfId="0" applyNumberFormat="1" applyFont="1" applyFill="1" applyBorder="1"/>
    <xf numFmtId="44" fontId="3" fillId="0" borderId="0" xfId="2" applyFont="1" applyFill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/>
    <xf numFmtId="166" fontId="10" fillId="0" borderId="20" xfId="1" applyNumberFormat="1" applyFont="1" applyFill="1" applyBorder="1"/>
    <xf numFmtId="166" fontId="3" fillId="2" borderId="1" xfId="0" applyNumberFormat="1" applyFont="1" applyFill="1" applyBorder="1" applyAlignment="1"/>
    <xf numFmtId="3" fontId="4" fillId="2" borderId="9" xfId="0" applyNumberFormat="1" applyFont="1" applyFill="1" applyBorder="1"/>
    <xf numFmtId="44" fontId="3" fillId="0" borderId="0" xfId="0" applyNumberFormat="1" applyFont="1" applyFill="1" applyBorder="1"/>
    <xf numFmtId="0" fontId="3" fillId="0" borderId="0" xfId="0" applyFont="1" applyFill="1" applyBorder="1" applyAlignment="1"/>
    <xf numFmtId="166" fontId="3" fillId="0" borderId="0" xfId="0" applyNumberFormat="1" applyFont="1" applyFill="1" applyBorder="1" applyAlignment="1"/>
    <xf numFmtId="164" fontId="3" fillId="2" borderId="3" xfId="2" applyNumberFormat="1" applyFont="1" applyFill="1" applyBorder="1" applyAlignment="1"/>
    <xf numFmtId="43" fontId="3" fillId="2" borderId="3" xfId="2" applyNumberFormat="1" applyFont="1" applyFill="1" applyBorder="1" applyAlignment="1"/>
    <xf numFmtId="166" fontId="3" fillId="2" borderId="3" xfId="2" applyNumberFormat="1" applyFont="1" applyFill="1" applyBorder="1" applyAlignment="1"/>
    <xf numFmtId="166" fontId="3" fillId="0" borderId="0" xfId="0" applyNumberFormat="1" applyFont="1" applyFill="1" applyBorder="1"/>
    <xf numFmtId="166" fontId="3" fillId="2" borderId="11" xfId="0" applyNumberFormat="1" applyFont="1" applyFill="1" applyBorder="1" applyAlignment="1"/>
    <xf numFmtId="3" fontId="3" fillId="2" borderId="11" xfId="0" applyNumberFormat="1" applyFont="1" applyFill="1" applyBorder="1"/>
    <xf numFmtId="43" fontId="3" fillId="0" borderId="0" xfId="0" applyNumberFormat="1" applyFont="1" applyFill="1" applyBorder="1"/>
    <xf numFmtId="166" fontId="3" fillId="5" borderId="11" xfId="0" applyNumberFormat="1" applyFont="1" applyFill="1" applyBorder="1" applyAlignment="1"/>
    <xf numFmtId="3" fontId="3" fillId="5" borderId="11" xfId="0" applyNumberFormat="1" applyFont="1" applyFill="1" applyBorder="1"/>
    <xf numFmtId="43" fontId="3" fillId="0" borderId="20" xfId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3" fontId="4" fillId="3" borderId="3" xfId="0" applyNumberFormat="1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/>
    <xf numFmtId="164" fontId="3" fillId="0" borderId="5" xfId="2" applyNumberFormat="1" applyFont="1" applyFill="1" applyBorder="1"/>
    <xf numFmtId="164" fontId="3" fillId="0" borderId="6" xfId="2" quotePrefix="1" applyNumberFormat="1" applyFont="1" applyFill="1" applyBorder="1"/>
    <xf numFmtId="164" fontId="3" fillId="0" borderId="6" xfId="2" applyNumberFormat="1" applyFont="1" applyFill="1" applyBorder="1"/>
    <xf numFmtId="166" fontId="3" fillId="0" borderId="6" xfId="1" applyNumberFormat="1" applyFont="1" applyFill="1" applyBorder="1"/>
    <xf numFmtId="0" fontId="3" fillId="0" borderId="26" xfId="0" applyFont="1" applyFill="1" applyBorder="1"/>
    <xf numFmtId="3" fontId="3" fillId="0" borderId="1" xfId="0" applyNumberFormat="1" applyFont="1" applyFill="1" applyBorder="1"/>
    <xf numFmtId="164" fontId="3" fillId="0" borderId="26" xfId="2" applyNumberFormat="1" applyFont="1" applyFill="1" applyBorder="1"/>
    <xf numFmtId="164" fontId="12" fillId="0" borderId="14" xfId="2" applyNumberFormat="1" applyFont="1" applyFill="1" applyBorder="1" applyAlignment="1">
      <alignment horizontal="center"/>
    </xf>
    <xf numFmtId="3" fontId="3" fillId="0" borderId="11" xfId="0" applyNumberFormat="1" applyFont="1" applyFill="1" applyBorder="1"/>
    <xf numFmtId="166" fontId="3" fillId="0" borderId="9" xfId="1" applyNumberFormat="1" applyFont="1" applyFill="1" applyBorder="1"/>
    <xf numFmtId="164" fontId="3" fillId="0" borderId="9" xfId="2" applyNumberFormat="1" applyFont="1" applyFill="1" applyBorder="1"/>
    <xf numFmtId="164" fontId="3" fillId="0" borderId="0" xfId="2" applyNumberFormat="1" applyFont="1" applyFill="1" applyBorder="1"/>
    <xf numFmtId="164" fontId="4" fillId="3" borderId="3" xfId="2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 applyProtection="1">
      <alignment horizontal="center"/>
      <protection locked="0"/>
    </xf>
    <xf numFmtId="0" fontId="5" fillId="3" borderId="2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3" fillId="4" borderId="26" xfId="0" applyFont="1" applyFill="1" applyBorder="1"/>
    <xf numFmtId="3" fontId="3" fillId="4" borderId="1" xfId="0" applyNumberFormat="1" applyFont="1" applyFill="1" applyBorder="1"/>
    <xf numFmtId="44" fontId="3" fillId="4" borderId="1" xfId="0" applyNumberFormat="1" applyFont="1" applyFill="1" applyBorder="1"/>
    <xf numFmtId="44" fontId="3" fillId="4" borderId="8" xfId="0" applyNumberFormat="1" applyFont="1" applyFill="1" applyBorder="1"/>
    <xf numFmtId="44" fontId="3" fillId="4" borderId="14" xfId="0" applyNumberFormat="1" applyFont="1" applyFill="1" applyBorder="1"/>
    <xf numFmtId="0" fontId="5" fillId="3" borderId="42" xfId="0" applyFont="1" applyFill="1" applyBorder="1" applyAlignment="1">
      <alignment horizontal="center"/>
    </xf>
    <xf numFmtId="166" fontId="4" fillId="3" borderId="0" xfId="1" applyNumberFormat="1" applyFont="1" applyFill="1" applyBorder="1" applyAlignment="1" applyProtection="1">
      <alignment horizontal="center" wrapText="1"/>
      <protection locked="0"/>
    </xf>
    <xf numFmtId="0" fontId="13" fillId="3" borderId="0" xfId="0" applyNumberFormat="1" applyFont="1" applyFill="1" applyBorder="1" applyAlignment="1">
      <alignment horizontal="center"/>
    </xf>
    <xf numFmtId="165" fontId="13" fillId="3" borderId="27" xfId="3" applyNumberFormat="1" applyFont="1" applyFill="1" applyBorder="1" applyAlignment="1"/>
    <xf numFmtId="0" fontId="3" fillId="0" borderId="42" xfId="0" applyFont="1" applyFill="1" applyBorder="1"/>
    <xf numFmtId="41" fontId="3" fillId="0" borderId="0" xfId="0" applyNumberFormat="1" applyFont="1" applyFill="1" applyBorder="1" applyAlignment="1"/>
    <xf numFmtId="165" fontId="3" fillId="0" borderId="27" xfId="3" applyNumberFormat="1" applyFont="1" applyFill="1" applyBorder="1"/>
    <xf numFmtId="4" fontId="3" fillId="0" borderId="0" xfId="0" applyNumberFormat="1" applyFont="1" applyFill="1" applyBorder="1"/>
    <xf numFmtId="0" fontId="4" fillId="2" borderId="4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3" fontId="3" fillId="2" borderId="0" xfId="0" applyNumberFormat="1" applyFont="1" applyFill="1" applyBorder="1"/>
    <xf numFmtId="165" fontId="3" fillId="2" borderId="27" xfId="3" applyNumberFormat="1" applyFont="1" applyFill="1" applyBorder="1"/>
    <xf numFmtId="166" fontId="3" fillId="0" borderId="0" xfId="1" applyNumberFormat="1" applyFont="1" applyFill="1" applyBorder="1"/>
    <xf numFmtId="166" fontId="3" fillId="2" borderId="0" xfId="0" applyNumberFormat="1" applyFont="1" applyFill="1" applyBorder="1"/>
    <xf numFmtId="166" fontId="3" fillId="2" borderId="0" xfId="1" applyNumberFormat="1" applyFont="1" applyFill="1" applyBorder="1"/>
    <xf numFmtId="166" fontId="3" fillId="2" borderId="6" xfId="0" applyNumberFormat="1" applyFont="1" applyFill="1" applyBorder="1"/>
    <xf numFmtId="41" fontId="3" fillId="2" borderId="0" xfId="0" applyNumberFormat="1" applyFont="1" applyFill="1" applyBorder="1" applyAlignment="1"/>
    <xf numFmtId="166" fontId="3" fillId="2" borderId="6" xfId="1" applyNumberFormat="1" applyFont="1" applyFill="1" applyBorder="1"/>
    <xf numFmtId="3" fontId="3" fillId="0" borderId="6" xfId="0" applyNumberFormat="1" applyFont="1" applyFill="1" applyBorder="1"/>
    <xf numFmtId="0" fontId="3" fillId="0" borderId="42" xfId="0" applyFont="1" applyFill="1" applyBorder="1" applyAlignment="1">
      <alignment horizontal="left"/>
    </xf>
    <xf numFmtId="165" fontId="3" fillId="2" borderId="18" xfId="3" applyNumberFormat="1" applyFont="1" applyFill="1" applyBorder="1"/>
    <xf numFmtId="0" fontId="4" fillId="5" borderId="21" xfId="0" applyFont="1" applyFill="1" applyBorder="1" applyAlignment="1">
      <alignment horizontal="left"/>
    </xf>
    <xf numFmtId="0" fontId="4" fillId="5" borderId="43" xfId="0" applyFont="1" applyFill="1" applyBorder="1" applyAlignment="1">
      <alignment horizontal="right"/>
    </xf>
    <xf numFmtId="3" fontId="3" fillId="5" borderId="43" xfId="0" applyNumberFormat="1" applyFont="1" applyFill="1" applyBorder="1"/>
    <xf numFmtId="166" fontId="3" fillId="5" borderId="43" xfId="0" applyNumberFormat="1" applyFont="1" applyFill="1" applyBorder="1"/>
    <xf numFmtId="3" fontId="3" fillId="5" borderId="44" xfId="0" applyNumberFormat="1" applyFont="1" applyFill="1" applyBorder="1"/>
    <xf numFmtId="166" fontId="3" fillId="5" borderId="44" xfId="1" applyNumberFormat="1" applyFont="1" applyFill="1" applyBorder="1"/>
    <xf numFmtId="165" fontId="3" fillId="5" borderId="18" xfId="3" applyNumberFormat="1" applyFont="1" applyFill="1" applyBorder="1"/>
    <xf numFmtId="166" fontId="3" fillId="5" borderId="43" xfId="1" applyNumberFormat="1" applyFont="1" applyFill="1" applyBorder="1"/>
    <xf numFmtId="166" fontId="3" fillId="5" borderId="22" xfId="1" applyNumberFormat="1" applyFont="1" applyFill="1" applyBorder="1"/>
    <xf numFmtId="3" fontId="4" fillId="3" borderId="2" xfId="0" applyNumberFormat="1" applyFont="1" applyFill="1" applyBorder="1" applyAlignment="1" applyProtection="1">
      <alignment horizontal="center"/>
      <protection locked="0"/>
    </xf>
    <xf numFmtId="3" fontId="4" fillId="3" borderId="5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165" fontId="13" fillId="3" borderId="7" xfId="3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/>
    <xf numFmtId="0" fontId="4" fillId="3" borderId="5" xfId="0" applyFont="1" applyFill="1" applyBorder="1" applyAlignment="1">
      <alignment horizontal="left"/>
    </xf>
    <xf numFmtId="164" fontId="4" fillId="3" borderId="0" xfId="2" applyNumberFormat="1" applyFont="1" applyFill="1" applyBorder="1"/>
    <xf numFmtId="164" fontId="4" fillId="3" borderId="6" xfId="2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165" fontId="3" fillId="3" borderId="7" xfId="3" applyNumberFormat="1" applyFont="1" applyFill="1" applyBorder="1" applyAlignment="1"/>
    <xf numFmtId="164" fontId="3" fillId="2" borderId="11" xfId="2" applyNumberFormat="1" applyFont="1" applyFill="1" applyBorder="1"/>
    <xf numFmtId="164" fontId="3" fillId="2" borderId="11" xfId="2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/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" borderId="5" xfId="0" applyFont="1" applyFill="1" applyBorder="1" applyAlignment="1"/>
    <xf numFmtId="0" fontId="5" fillId="3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/>
    <xf numFmtId="164" fontId="3" fillId="0" borderId="45" xfId="2" applyNumberFormat="1" applyFont="1" applyFill="1" applyBorder="1"/>
    <xf numFmtId="164" fontId="3" fillId="0" borderId="27" xfId="2" applyNumberFormat="1" applyFont="1" applyFill="1" applyBorder="1"/>
    <xf numFmtId="49" fontId="4" fillId="4" borderId="5" xfId="0" applyNumberFormat="1" applyFont="1" applyFill="1" applyBorder="1" applyAlignment="1">
      <alignment horizontal="right"/>
    </xf>
    <xf numFmtId="0" fontId="4" fillId="4" borderId="27" xfId="0" applyFont="1" applyFill="1" applyBorder="1" applyAlignment="1">
      <alignment horizontal="left"/>
    </xf>
    <xf numFmtId="164" fontId="4" fillId="4" borderId="45" xfId="2" applyNumberFormat="1" applyFont="1" applyFill="1" applyBorder="1" applyAlignment="1">
      <alignment horizontal="right"/>
    </xf>
    <xf numFmtId="164" fontId="4" fillId="4" borderId="27" xfId="2" applyNumberFormat="1" applyFont="1" applyFill="1" applyBorder="1" applyAlignment="1">
      <alignment horizontal="right"/>
    </xf>
    <xf numFmtId="164" fontId="3" fillId="2" borderId="14" xfId="2" applyNumberFormat="1" applyFont="1" applyFill="1" applyBorder="1"/>
    <xf numFmtId="0" fontId="4" fillId="0" borderId="6" xfId="0" applyNumberFormat="1" applyFont="1" applyFill="1" applyBorder="1" applyAlignment="1" applyProtection="1">
      <alignment horizontal="center"/>
      <protection locked="0"/>
    </xf>
    <xf numFmtId="164" fontId="3" fillId="4" borderId="0" xfId="2" applyNumberFormat="1" applyFont="1" applyFill="1" applyBorder="1"/>
    <xf numFmtId="164" fontId="3" fillId="4" borderId="6" xfId="2" applyNumberFormat="1" applyFont="1" applyFill="1" applyBorder="1"/>
    <xf numFmtId="0" fontId="4" fillId="2" borderId="2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64" fontId="3" fillId="2" borderId="1" xfId="2" applyNumberFormat="1" applyFont="1" applyFill="1" applyBorder="1"/>
    <xf numFmtId="164" fontId="3" fillId="0" borderId="42" xfId="2" applyNumberFormat="1" applyFont="1" applyFill="1" applyBorder="1"/>
    <xf numFmtId="164" fontId="4" fillId="4" borderId="42" xfId="2" applyNumberFormat="1" applyFont="1" applyFill="1" applyBorder="1" applyAlignment="1">
      <alignment horizontal="right"/>
    </xf>
    <xf numFmtId="3" fontId="4" fillId="3" borderId="41" xfId="0" applyNumberFormat="1" applyFont="1" applyFill="1" applyBorder="1" applyAlignment="1" applyProtection="1">
      <alignment horizontal="center" wrapText="1"/>
      <protection locked="0"/>
    </xf>
    <xf numFmtId="0" fontId="4" fillId="3" borderId="42" xfId="0" applyNumberFormat="1" applyFont="1" applyFill="1" applyBorder="1" applyAlignment="1" applyProtection="1">
      <alignment horizontal="center"/>
      <protection locked="0"/>
    </xf>
    <xf numFmtId="164" fontId="3" fillId="2" borderId="37" xfId="2" applyNumberFormat="1" applyFont="1" applyFill="1" applyBorder="1"/>
    <xf numFmtId="164" fontId="3" fillId="2" borderId="40" xfId="2" applyNumberFormat="1" applyFont="1" applyFill="1" applyBorder="1"/>
    <xf numFmtId="0" fontId="4" fillId="4" borderId="0" xfId="0" applyFont="1" applyFill="1" applyBorder="1" applyAlignment="1">
      <alignment horizontal="left"/>
    </xf>
    <xf numFmtId="49" fontId="4" fillId="2" borderId="39" xfId="0" applyNumberFormat="1" applyFont="1" applyFill="1" applyBorder="1" applyAlignment="1"/>
    <xf numFmtId="0" fontId="4" fillId="2" borderId="37" xfId="0" applyFont="1" applyFill="1" applyBorder="1" applyAlignment="1">
      <alignment horizontal="right"/>
    </xf>
    <xf numFmtId="164" fontId="4" fillId="4" borderId="6" xfId="2" applyNumberFormat="1" applyFont="1" applyFill="1" applyBorder="1" applyAlignment="1">
      <alignment horizontal="right"/>
    </xf>
    <xf numFmtId="164" fontId="4" fillId="4" borderId="14" xfId="2" applyNumberFormat="1" applyFont="1" applyFill="1" applyBorder="1" applyAlignment="1">
      <alignment horizontal="right"/>
    </xf>
    <xf numFmtId="166" fontId="3" fillId="2" borderId="8" xfId="1" applyNumberFormat="1" applyFont="1" applyFill="1" applyBorder="1"/>
    <xf numFmtId="3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45" xfId="2" applyNumberFormat="1" applyFont="1" applyFill="1" applyBorder="1" applyAlignment="1">
      <alignment horizontal="center"/>
    </xf>
    <xf numFmtId="164" fontId="3" fillId="4" borderId="15" xfId="2" applyNumberFormat="1" applyFont="1" applyFill="1" applyBorder="1"/>
    <xf numFmtId="0" fontId="16" fillId="0" borderId="45" xfId="0" applyNumberFormat="1" applyFont="1" applyFill="1" applyBorder="1" applyAlignment="1">
      <alignment horizontal="center"/>
    </xf>
    <xf numFmtId="164" fontId="0" fillId="0" borderId="45" xfId="2" applyNumberFormat="1" applyFont="1" applyFill="1" applyBorder="1"/>
    <xf numFmtId="164" fontId="4" fillId="3" borderId="45" xfId="2" applyNumberFormat="1" applyFont="1" applyFill="1" applyBorder="1" applyAlignment="1">
      <alignment horizontal="center"/>
    </xf>
    <xf numFmtId="0" fontId="4" fillId="3" borderId="45" xfId="2" applyNumberFormat="1" applyFont="1" applyFill="1" applyBorder="1" applyAlignment="1">
      <alignment horizontal="center"/>
    </xf>
    <xf numFmtId="3" fontId="17" fillId="3" borderId="45" xfId="0" quotePrefix="1" applyNumberFormat="1" applyFont="1" applyFill="1" applyBorder="1" applyAlignment="1">
      <alignment horizontal="center"/>
    </xf>
    <xf numFmtId="0" fontId="17" fillId="3" borderId="45" xfId="0" applyNumberFormat="1" applyFont="1" applyFill="1" applyBorder="1" applyAlignment="1">
      <alignment horizontal="center"/>
    </xf>
    <xf numFmtId="3" fontId="11" fillId="3" borderId="45" xfId="0" applyNumberFormat="1" applyFont="1" applyFill="1" applyBorder="1" applyAlignment="1">
      <alignment horizontal="center"/>
    </xf>
    <xf numFmtId="3" fontId="11" fillId="3" borderId="42" xfId="0" applyNumberFormat="1" applyFont="1" applyFill="1" applyBorder="1" applyAlignment="1">
      <alignment horizontal="center"/>
    </xf>
    <xf numFmtId="3" fontId="17" fillId="3" borderId="42" xfId="0" quotePrefix="1" applyNumberFormat="1" applyFont="1" applyFill="1" applyBorder="1" applyAlignment="1">
      <alignment horizontal="center"/>
    </xf>
    <xf numFmtId="0" fontId="17" fillId="3" borderId="42" xfId="0" applyNumberFormat="1" applyFont="1" applyFill="1" applyBorder="1" applyAlignment="1">
      <alignment horizontal="center"/>
    </xf>
    <xf numFmtId="0" fontId="16" fillId="0" borderId="42" xfId="0" applyNumberFormat="1" applyFont="1" applyFill="1" applyBorder="1" applyAlignment="1">
      <alignment horizontal="center"/>
    </xf>
    <xf numFmtId="164" fontId="0" fillId="0" borderId="42" xfId="2" applyNumberFormat="1" applyFont="1" applyFill="1" applyBorder="1"/>
    <xf numFmtId="164" fontId="3" fillId="4" borderId="16" xfId="2" applyNumberFormat="1" applyFont="1" applyFill="1" applyBorder="1"/>
    <xf numFmtId="0" fontId="4" fillId="3" borderId="0" xfId="0" applyNumberFormat="1" applyFont="1" applyFill="1" applyBorder="1" applyAlignment="1">
      <alignment horizontal="center" wrapText="1"/>
    </xf>
    <xf numFmtId="0" fontId="4" fillId="3" borderId="13" xfId="0" applyNumberFormat="1" applyFont="1" applyFill="1" applyBorder="1" applyAlignment="1" applyProtection="1">
      <alignment horizontal="center" wrapText="1"/>
      <protection locked="0"/>
    </xf>
    <xf numFmtId="0" fontId="3" fillId="0" borderId="45" xfId="0" applyFont="1" applyFill="1" applyBorder="1"/>
    <xf numFmtId="0" fontId="4" fillId="3" borderId="45" xfId="0" applyFont="1" applyFill="1" applyBorder="1" applyAlignment="1">
      <alignment horizontal="right"/>
    </xf>
    <xf numFmtId="0" fontId="4" fillId="3" borderId="45" xfId="0" applyFont="1" applyFill="1" applyBorder="1" applyAlignment="1">
      <alignment horizontal="center"/>
    </xf>
    <xf numFmtId="164" fontId="3" fillId="0" borderId="45" xfId="0" applyNumberFormat="1" applyFont="1" applyFill="1" applyBorder="1"/>
    <xf numFmtId="164" fontId="3" fillId="3" borderId="45" xfId="0" applyNumberFormat="1" applyFont="1" applyFill="1" applyBorder="1"/>
    <xf numFmtId="164" fontId="3" fillId="0" borderId="42" xfId="0" applyNumberFormat="1" applyFont="1" applyFill="1" applyBorder="1"/>
    <xf numFmtId="164" fontId="3" fillId="3" borderId="42" xfId="0" applyNumberFormat="1" applyFont="1" applyFill="1" applyBorder="1"/>
    <xf numFmtId="0" fontId="4" fillId="3" borderId="45" xfId="0" applyNumberFormat="1" applyFont="1" applyFill="1" applyBorder="1" applyAlignment="1" applyProtection="1">
      <alignment horizontal="center"/>
      <protection locked="0"/>
    </xf>
    <xf numFmtId="3" fontId="4" fillId="3" borderId="42" xfId="0" quotePrefix="1" applyNumberFormat="1" applyFont="1" applyFill="1" applyBorder="1" applyAlignment="1" applyProtection="1">
      <alignment horizontal="center"/>
      <protection locked="0"/>
    </xf>
    <xf numFmtId="3" fontId="9" fillId="3" borderId="13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164" fontId="3" fillId="3" borderId="6" xfId="0" applyNumberFormat="1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" borderId="49" xfId="0" applyFont="1" applyFill="1" applyBorder="1"/>
    <xf numFmtId="3" fontId="17" fillId="3" borderId="49" xfId="0" applyNumberFormat="1" applyFont="1" applyFill="1" applyBorder="1" applyAlignment="1">
      <alignment horizontal="center"/>
    </xf>
    <xf numFmtId="3" fontId="17" fillId="3" borderId="41" xfId="0" applyNumberFormat="1" applyFont="1" applyFill="1" applyBorder="1" applyAlignment="1">
      <alignment horizontal="center"/>
    </xf>
    <xf numFmtId="3" fontId="4" fillId="3" borderId="41" xfId="0" applyNumberFormat="1" applyFont="1" applyFill="1" applyBorder="1" applyAlignment="1" applyProtection="1">
      <alignment horizontal="center"/>
      <protection locked="0"/>
    </xf>
    <xf numFmtId="44" fontId="4" fillId="2" borderId="37" xfId="0" applyNumberFormat="1" applyFont="1" applyFill="1" applyBorder="1" applyAlignment="1">
      <alignment horizontal="right"/>
    </xf>
    <xf numFmtId="164" fontId="3" fillId="2" borderId="37" xfId="0" applyNumberFormat="1" applyFont="1" applyFill="1" applyBorder="1"/>
    <xf numFmtId="164" fontId="3" fillId="2" borderId="38" xfId="0" applyNumberFormat="1" applyFont="1" applyFill="1" applyBorder="1"/>
    <xf numFmtId="0" fontId="4" fillId="2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166" fontId="3" fillId="2" borderId="9" xfId="1" applyNumberFormat="1" applyFont="1" applyFill="1" applyBorder="1"/>
    <xf numFmtId="3" fontId="4" fillId="3" borderId="33" xfId="0" applyNumberFormat="1" applyFont="1" applyFill="1" applyBorder="1" applyAlignment="1" applyProtection="1">
      <alignment horizontal="center" wrapText="1"/>
      <protection locked="0"/>
    </xf>
    <xf numFmtId="0" fontId="4" fillId="3" borderId="27" xfId="0" applyNumberFormat="1" applyFont="1" applyFill="1" applyBorder="1" applyAlignment="1" applyProtection="1">
      <alignment horizontal="center"/>
      <protection locked="0"/>
    </xf>
    <xf numFmtId="1" fontId="4" fillId="3" borderId="0" xfId="1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9" xfId="0" applyFont="1" applyFill="1" applyBorder="1"/>
    <xf numFmtId="0" fontId="19" fillId="7" borderId="19" xfId="0" applyFont="1" applyFill="1" applyBorder="1"/>
    <xf numFmtId="166" fontId="3" fillId="7" borderId="20" xfId="1" applyNumberFormat="1" applyFont="1" applyFill="1" applyBorder="1"/>
    <xf numFmtId="167" fontId="20" fillId="7" borderId="20" xfId="2" applyNumberFormat="1" applyFont="1" applyFill="1" applyBorder="1"/>
    <xf numFmtId="44" fontId="20" fillId="7" borderId="20" xfId="2" applyFont="1" applyFill="1" applyBorder="1"/>
    <xf numFmtId="164" fontId="19" fillId="7" borderId="21" xfId="0" applyNumberFormat="1" applyFont="1" applyFill="1" applyBorder="1"/>
    <xf numFmtId="44" fontId="3" fillId="7" borderId="0" xfId="0" applyNumberFormat="1" applyFont="1" applyFill="1" applyBorder="1"/>
    <xf numFmtId="9" fontId="19" fillId="7" borderId="0" xfId="0" applyNumberFormat="1" applyFont="1" applyFill="1" applyBorder="1" applyAlignment="1"/>
    <xf numFmtId="166" fontId="19" fillId="0" borderId="20" xfId="1" applyNumberFormat="1" applyFont="1" applyFill="1" applyBorder="1"/>
    <xf numFmtId="167" fontId="20" fillId="0" borderId="20" xfId="2" applyNumberFormat="1" applyFont="1" applyFill="1" applyBorder="1"/>
    <xf numFmtId="44" fontId="20" fillId="0" borderId="20" xfId="2" applyFont="1" applyFill="1" applyBorder="1"/>
    <xf numFmtId="164" fontId="19" fillId="0" borderId="21" xfId="0" applyNumberFormat="1" applyFont="1" applyFill="1" applyBorder="1"/>
    <xf numFmtId="9" fontId="19" fillId="0" borderId="0" xfId="0" applyNumberFormat="1" applyFont="1" applyFill="1" applyBorder="1" applyAlignment="1"/>
    <xf numFmtId="0" fontId="19" fillId="8" borderId="19" xfId="0" applyFont="1" applyFill="1" applyBorder="1"/>
    <xf numFmtId="166" fontId="3" fillId="8" borderId="20" xfId="1" applyNumberFormat="1" applyFont="1" applyFill="1" applyBorder="1"/>
    <xf numFmtId="167" fontId="20" fillId="8" borderId="20" xfId="2" applyNumberFormat="1" applyFont="1" applyFill="1" applyBorder="1"/>
    <xf numFmtId="44" fontId="20" fillId="8" borderId="20" xfId="2" applyFont="1" applyFill="1" applyBorder="1"/>
    <xf numFmtId="168" fontId="20" fillId="8" borderId="20" xfId="2" applyNumberFormat="1" applyFont="1" applyFill="1" applyBorder="1"/>
    <xf numFmtId="164" fontId="19" fillId="8" borderId="21" xfId="0" applyNumberFormat="1" applyFont="1" applyFill="1" applyBorder="1"/>
    <xf numFmtId="44" fontId="3" fillId="8" borderId="0" xfId="0" applyNumberFormat="1" applyFont="1" applyFill="1" applyBorder="1"/>
    <xf numFmtId="9" fontId="19" fillId="8" borderId="0" xfId="0" applyNumberFormat="1" applyFont="1" applyFill="1" applyBorder="1" applyAlignment="1"/>
    <xf numFmtId="168" fontId="20" fillId="0" borderId="20" xfId="2" applyNumberFormat="1" applyFont="1" applyFill="1" applyBorder="1"/>
    <xf numFmtId="166" fontId="19" fillId="8" borderId="20" xfId="1" applyNumberFormat="1" applyFont="1" applyFill="1" applyBorder="1"/>
    <xf numFmtId="0" fontId="19" fillId="8" borderId="24" xfId="0" applyFont="1" applyFill="1" applyBorder="1"/>
    <xf numFmtId="166" fontId="19" fillId="8" borderId="51" xfId="1" applyNumberFormat="1" applyFont="1" applyFill="1" applyBorder="1"/>
    <xf numFmtId="167" fontId="20" fillId="8" borderId="51" xfId="2" applyNumberFormat="1" applyFont="1" applyFill="1" applyBorder="1"/>
    <xf numFmtId="44" fontId="20" fillId="8" borderId="51" xfId="2" applyFont="1" applyFill="1" applyBorder="1"/>
    <xf numFmtId="168" fontId="20" fillId="8" borderId="51" xfId="2" applyNumberFormat="1" applyFont="1" applyFill="1" applyBorder="1"/>
    <xf numFmtId="164" fontId="19" fillId="8" borderId="34" xfId="0" applyNumberFormat="1" applyFont="1" applyFill="1" applyBorder="1"/>
    <xf numFmtId="0" fontId="21" fillId="0" borderId="46" xfId="0" applyFont="1" applyFill="1" applyBorder="1" applyAlignment="1">
      <alignment horizontal="right"/>
    </xf>
    <xf numFmtId="166" fontId="21" fillId="0" borderId="25" xfId="1" applyNumberFormat="1" applyFont="1" applyFill="1" applyBorder="1"/>
    <xf numFmtId="0" fontId="19" fillId="0" borderId="25" xfId="0" applyFont="1" applyFill="1" applyBorder="1"/>
    <xf numFmtId="44" fontId="19" fillId="0" borderId="25" xfId="0" applyNumberFormat="1" applyFont="1" applyFill="1" applyBorder="1"/>
    <xf numFmtId="44" fontId="19" fillId="0" borderId="10" xfId="0" applyNumberFormat="1" applyFont="1" applyFill="1" applyBorder="1"/>
    <xf numFmtId="164" fontId="19" fillId="0" borderId="14" xfId="0" applyNumberFormat="1" applyFont="1" applyFill="1" applyBorder="1"/>
    <xf numFmtId="10" fontId="0" fillId="0" borderId="0" xfId="0" applyNumberFormat="1"/>
    <xf numFmtId="0" fontId="0" fillId="9" borderId="0" xfId="0" applyFill="1"/>
    <xf numFmtId="166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166" fontId="0" fillId="10" borderId="0" xfId="0" applyNumberFormat="1" applyFill="1"/>
    <xf numFmtId="10" fontId="0" fillId="10" borderId="0" xfId="0" applyNumberFormat="1" applyFill="1"/>
    <xf numFmtId="164" fontId="5" fillId="7" borderId="47" xfId="0" applyNumberFormat="1" applyFont="1" applyFill="1" applyBorder="1"/>
    <xf numFmtId="164" fontId="5" fillId="0" borderId="22" xfId="0" applyNumberFormat="1" applyFont="1" applyFill="1" applyBorder="1"/>
    <xf numFmtId="164" fontId="5" fillId="7" borderId="22" xfId="0" applyNumberFormat="1" applyFont="1" applyFill="1" applyBorder="1"/>
    <xf numFmtId="164" fontId="5" fillId="8" borderId="22" xfId="0" applyNumberFormat="1" applyFont="1" applyFill="1" applyBorder="1"/>
    <xf numFmtId="164" fontId="5" fillId="8" borderId="48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8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3" fillId="4" borderId="11" xfId="0" applyFont="1" applyFill="1" applyBorder="1" applyAlignment="1" applyProtection="1">
      <alignment horizontal="right"/>
      <protection locked="0"/>
    </xf>
    <xf numFmtId="3" fontId="3" fillId="4" borderId="11" xfId="2" applyNumberFormat="1" applyFont="1" applyFill="1" applyBorder="1" applyProtection="1">
      <protection locked="0"/>
    </xf>
    <xf numFmtId="166" fontId="3" fillId="4" borderId="11" xfId="2" applyNumberFormat="1" applyFont="1" applyFill="1" applyBorder="1" applyProtection="1">
      <protection locked="0"/>
    </xf>
    <xf numFmtId="3" fontId="4" fillId="4" borderId="9" xfId="2" applyNumberFormat="1" applyFont="1" applyFill="1" applyBorder="1" applyProtection="1">
      <protection locked="0"/>
    </xf>
    <xf numFmtId="41" fontId="3" fillId="4" borderId="10" xfId="0" applyNumberFormat="1" applyFont="1" applyFill="1" applyBorder="1" applyProtection="1">
      <protection locked="0"/>
    </xf>
    <xf numFmtId="166" fontId="3" fillId="2" borderId="29" xfId="1" applyNumberFormat="1" applyFont="1" applyFill="1" applyBorder="1"/>
    <xf numFmtId="0" fontId="4" fillId="3" borderId="6" xfId="0" applyNumberFormat="1" applyFont="1" applyFill="1" applyBorder="1" applyAlignment="1" applyProtection="1">
      <alignment horizontal="center" wrapText="1"/>
      <protection locked="0"/>
    </xf>
    <xf numFmtId="3" fontId="3" fillId="2" borderId="6" xfId="0" applyNumberFormat="1" applyFont="1" applyFill="1" applyBorder="1"/>
    <xf numFmtId="166" fontId="3" fillId="5" borderId="14" xfId="1" applyNumberFormat="1" applyFont="1" applyFill="1" applyBorder="1"/>
    <xf numFmtId="166" fontId="3" fillId="6" borderId="6" xfId="1" applyNumberFormat="1" applyFont="1" applyFill="1" applyBorder="1"/>
    <xf numFmtId="0" fontId="3" fillId="8" borderId="0" xfId="0" applyFont="1" applyFill="1" applyBorder="1"/>
    <xf numFmtId="0" fontId="3" fillId="8" borderId="24" xfId="0" applyFont="1" applyFill="1" applyBorder="1"/>
    <xf numFmtId="3" fontId="4" fillId="3" borderId="5" xfId="0" applyNumberFormat="1" applyFont="1" applyFill="1" applyBorder="1" applyAlignment="1" applyProtection="1">
      <alignment horizontal="center"/>
      <protection locked="0"/>
    </xf>
    <xf numFmtId="3" fontId="4" fillId="3" borderId="7" xfId="0" applyNumberFormat="1" applyFont="1" applyFill="1" applyBorder="1" applyAlignment="1" applyProtection="1">
      <alignment horizontal="center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0" fillId="9" borderId="0" xfId="2" applyNumberFormat="1" applyFont="1" applyFill="1"/>
    <xf numFmtId="164" fontId="0" fillId="11" borderId="0" xfId="2" applyNumberFormat="1" applyFont="1" applyFill="1"/>
    <xf numFmtId="164" fontId="0" fillId="0" borderId="0" xfId="2" applyNumberFormat="1" applyFont="1"/>
    <xf numFmtId="164" fontId="0" fillId="10" borderId="0" xfId="2" applyNumberFormat="1" applyFont="1" applyFill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9" borderId="6" xfId="2" applyNumberFormat="1" applyFont="1" applyFill="1" applyBorder="1"/>
    <xf numFmtId="164" fontId="0" fillId="0" borderId="6" xfId="2" applyNumberFormat="1" applyFont="1" applyBorder="1"/>
    <xf numFmtId="164" fontId="0" fillId="10" borderId="6" xfId="2" applyNumberFormat="1" applyFont="1" applyFill="1" applyBorder="1"/>
    <xf numFmtId="164" fontId="0" fillId="10" borderId="14" xfId="2" applyNumberFormat="1" applyFont="1" applyFill="1" applyBorder="1"/>
    <xf numFmtId="0" fontId="4" fillId="4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3" fillId="2" borderId="0" xfId="2" applyNumberFormat="1" applyFont="1" applyFill="1" applyBorder="1"/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/>
    <xf numFmtId="3" fontId="4" fillId="0" borderId="23" xfId="0" applyNumberFormat="1" applyFont="1" applyFill="1" applyBorder="1"/>
    <xf numFmtId="0" fontId="0" fillId="0" borderId="0" xfId="0" applyAlignment="1">
      <alignment horizontal="center"/>
    </xf>
    <xf numFmtId="164" fontId="4" fillId="12" borderId="9" xfId="2" applyNumberFormat="1" applyFont="1" applyFill="1" applyBorder="1"/>
    <xf numFmtId="164" fontId="4" fillId="13" borderId="13" xfId="2" applyNumberFormat="1" applyFont="1" applyFill="1" applyBorder="1" applyAlignment="1"/>
    <xf numFmtId="3" fontId="4" fillId="13" borderId="9" xfId="0" applyNumberFormat="1" applyFont="1" applyFill="1" applyBorder="1"/>
    <xf numFmtId="166" fontId="4" fillId="14" borderId="9" xfId="1" applyNumberFormat="1" applyFont="1" applyFill="1" applyBorder="1" applyAlignment="1" applyProtection="1">
      <alignment horizontal="right"/>
      <protection locked="0"/>
    </xf>
    <xf numFmtId="3" fontId="4" fillId="13" borderId="9" xfId="2" applyNumberFormat="1" applyFont="1" applyFill="1" applyBorder="1" applyProtection="1">
      <protection locked="0"/>
    </xf>
    <xf numFmtId="3" fontId="4" fillId="12" borderId="9" xfId="1" applyNumberFormat="1" applyFont="1" applyFill="1" applyBorder="1" applyProtection="1">
      <protection locked="0"/>
    </xf>
    <xf numFmtId="3" fontId="4" fillId="15" borderId="9" xfId="2" applyNumberFormat="1" applyFont="1" applyFill="1" applyBorder="1" applyProtection="1">
      <protection locked="0"/>
    </xf>
    <xf numFmtId="164" fontId="4" fillId="15" borderId="9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A9694"/>
      <color rgb="FF9BC2E6"/>
      <color rgb="FFEBF1DE"/>
      <color rgb="FFEE12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Budget%20worksheet%20Kitsap911%20BOD%20Presentation%202016-06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Approp Worksheet"/>
      <sheetName val="Sheet7"/>
      <sheetName val="Sheet2"/>
      <sheetName val="Revenue 1031"/>
      <sheetName val="Appropriation Summary"/>
      <sheetName val="Sheet4"/>
      <sheetName val="Approp 1031 (Debt Svc)"/>
      <sheetName val="Approp 1032 (Operations)"/>
      <sheetName val="Approp 1033 (MCT System)"/>
      <sheetName val="Approp 1034 Misc Tech Projects"/>
      <sheetName val="Approp 1035 Backup Center"/>
      <sheetName val="Approp 1036 Acom"/>
      <sheetName val="Approp 1037 Next Generation 911"/>
      <sheetName val="Approp 1038 MCT Replacement"/>
      <sheetName val="Fund Formula Pt. A"/>
      <sheetName val="Fund Formula Pt. B"/>
      <sheetName val="Fund Formula Calls for Service"/>
      <sheetName val="Wages and Benefits Worksheet"/>
      <sheetName val="Sheet5"/>
      <sheetName val="Sheet6"/>
      <sheetName val="Training Budget Worksheet"/>
      <sheetName val="Tower Lease Revenue"/>
      <sheetName val="Contract Revenues"/>
      <sheetName val="User Fee Comparisons"/>
      <sheetName val="2014 DEM Charges"/>
      <sheetName val="DEM Charges Forumula Reference"/>
      <sheetName val="Misc. Revenues"/>
      <sheetName val="Sales Tax "/>
      <sheetName val="Telephone Tax"/>
      <sheetName val="Annexations"/>
      <sheetName val="Cost Centers"/>
      <sheetName val="Approp Template"/>
      <sheetName val="Revenue Download"/>
      <sheetName val="Expense Download"/>
      <sheetName val="Sheet3"/>
      <sheetName val="Pmts to Kitsap Co"/>
      <sheetName val="OldWages and Benefits Worksheet"/>
      <sheetName val="Payments to Kitsap Count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22" workbookViewId="0">
      <selection activeCell="N19" sqref="N19"/>
    </sheetView>
  </sheetViews>
  <sheetFormatPr defaultRowHeight="15" x14ac:dyDescent="0.25"/>
  <cols>
    <col min="1" max="1" width="11.7109375" bestFit="1" customWidth="1"/>
    <col min="2" max="2" width="48.140625" bestFit="1" customWidth="1"/>
    <col min="3" max="5" width="11.28515625" bestFit="1" customWidth="1"/>
    <col min="6" max="6" width="12.85546875" bestFit="1" customWidth="1"/>
    <col min="7" max="7" width="10.28515625" bestFit="1" customWidth="1"/>
    <col min="8" max="8" width="11.5703125" bestFit="1" customWidth="1"/>
    <col min="9" max="9" width="12.28515625" bestFit="1" customWidth="1"/>
    <col min="10" max="10" width="14.28515625" bestFit="1" customWidth="1"/>
    <col min="11" max="11" width="10.85546875" bestFit="1" customWidth="1"/>
    <col min="14" max="14" width="11.5703125" bestFit="1" customWidth="1"/>
  </cols>
  <sheetData>
    <row r="1" spans="1:12" ht="27.75" thickBot="1" x14ac:dyDescent="0.4">
      <c r="A1" s="412" t="s">
        <v>315</v>
      </c>
      <c r="B1" s="412"/>
      <c r="C1" s="412"/>
      <c r="D1" s="412"/>
      <c r="E1" s="412"/>
      <c r="F1" s="412"/>
      <c r="G1" s="412"/>
      <c r="H1" s="412"/>
      <c r="I1" s="412"/>
      <c r="J1" s="412"/>
      <c r="K1" s="350" t="s">
        <v>224</v>
      </c>
      <c r="L1" s="350"/>
    </row>
    <row r="2" spans="1:12" ht="23.25" x14ac:dyDescent="0.25">
      <c r="A2" s="413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5"/>
    </row>
    <row r="3" spans="1:12" x14ac:dyDescent="0.25">
      <c r="A3" s="21"/>
      <c r="B3" s="22"/>
      <c r="C3" s="23" t="s">
        <v>1</v>
      </c>
      <c r="D3" s="24" t="s">
        <v>2</v>
      </c>
      <c r="E3" s="24" t="s">
        <v>2</v>
      </c>
      <c r="F3" s="24" t="s">
        <v>1</v>
      </c>
      <c r="G3" s="24" t="s">
        <v>1</v>
      </c>
      <c r="H3" s="24" t="s">
        <v>1</v>
      </c>
      <c r="I3" s="24" t="s">
        <v>3</v>
      </c>
      <c r="J3" s="25" t="s">
        <v>4</v>
      </c>
      <c r="K3" s="378" t="s">
        <v>37</v>
      </c>
      <c r="L3" s="379"/>
    </row>
    <row r="4" spans="1:12" ht="16.5" thickBot="1" x14ac:dyDescent="0.3">
      <c r="A4" s="26"/>
      <c r="B4" s="27" t="s">
        <v>7</v>
      </c>
      <c r="C4" s="28">
        <v>2010</v>
      </c>
      <c r="D4" s="29">
        <v>2011</v>
      </c>
      <c r="E4" s="29">
        <v>2012</v>
      </c>
      <c r="F4" s="29">
        <v>2013</v>
      </c>
      <c r="G4" s="29">
        <v>2014</v>
      </c>
      <c r="H4" s="29">
        <v>2015</v>
      </c>
      <c r="I4" s="29">
        <v>2016</v>
      </c>
      <c r="J4" s="30">
        <v>2017</v>
      </c>
      <c r="K4" s="31" t="s">
        <v>5</v>
      </c>
      <c r="L4" s="32" t="s">
        <v>6</v>
      </c>
    </row>
    <row r="5" spans="1:12" ht="15.75" thickBot="1" x14ac:dyDescent="0.3">
      <c r="A5" s="33" t="s">
        <v>8</v>
      </c>
      <c r="B5" s="34" t="s">
        <v>9</v>
      </c>
      <c r="C5" s="35"/>
      <c r="D5" s="36"/>
      <c r="E5" s="36"/>
      <c r="F5" s="36"/>
      <c r="G5" s="36"/>
      <c r="H5" s="36"/>
      <c r="I5" s="36"/>
      <c r="J5" s="422">
        <v>2881223.7</v>
      </c>
      <c r="K5" s="35"/>
      <c r="L5" s="37"/>
    </row>
    <row r="6" spans="1:12" x14ac:dyDescent="0.25">
      <c r="A6" s="5" t="s">
        <v>10</v>
      </c>
      <c r="B6" s="6" t="s">
        <v>11</v>
      </c>
      <c r="C6" s="1">
        <v>3169064.54</v>
      </c>
      <c r="D6" s="1">
        <v>3222555.62</v>
      </c>
      <c r="E6" s="1">
        <v>3271346.9</v>
      </c>
      <c r="F6" s="1">
        <v>3409130.81</v>
      </c>
      <c r="G6" s="1">
        <v>3639600.26</v>
      </c>
      <c r="H6" s="2">
        <v>3920939.94</v>
      </c>
      <c r="I6" s="2">
        <v>3785184.2703999998</v>
      </c>
      <c r="J6" s="3">
        <v>4156196.3364000004</v>
      </c>
      <c r="K6" s="38">
        <v>371012.06600000057</v>
      </c>
      <c r="L6" s="10">
        <v>9.801691000919055E-2</v>
      </c>
    </row>
    <row r="7" spans="1:12" x14ac:dyDescent="0.25">
      <c r="A7" s="5" t="s">
        <v>12</v>
      </c>
      <c r="B7" s="6" t="s">
        <v>13</v>
      </c>
      <c r="C7" s="1">
        <v>1653546</v>
      </c>
      <c r="D7" s="1">
        <v>2240597.08</v>
      </c>
      <c r="E7" s="1">
        <v>2439530.6399999997</v>
      </c>
      <c r="F7" s="1">
        <v>2416760.98</v>
      </c>
      <c r="G7" s="1">
        <v>2680248.0699999998</v>
      </c>
      <c r="H7" s="2">
        <v>2408805.5099999998</v>
      </c>
      <c r="I7" s="2">
        <v>2527074</v>
      </c>
      <c r="J7" s="4">
        <v>2408805.5099999998</v>
      </c>
      <c r="K7" s="38">
        <v>-118268.49000000022</v>
      </c>
      <c r="L7" s="10">
        <v>-4.6800564605547823E-2</v>
      </c>
    </row>
    <row r="8" spans="1:12" x14ac:dyDescent="0.25">
      <c r="A8" s="5" t="s">
        <v>14</v>
      </c>
      <c r="B8" s="6" t="s">
        <v>15</v>
      </c>
      <c r="C8" s="1">
        <v>2103840</v>
      </c>
      <c r="D8" s="1">
        <v>2221215.0499999998</v>
      </c>
      <c r="E8" s="1">
        <v>2248201.08</v>
      </c>
      <c r="F8" s="1">
        <v>2187249</v>
      </c>
      <c r="G8" s="1">
        <v>2187264.92</v>
      </c>
      <c r="H8" s="2">
        <v>2187110.56</v>
      </c>
      <c r="I8" s="2">
        <v>2187358</v>
      </c>
      <c r="J8" s="4">
        <v>2191644.5689114216</v>
      </c>
      <c r="K8" s="38">
        <v>4286.5689114215784</v>
      </c>
      <c r="L8" s="10">
        <v>1.9597015721348754E-3</v>
      </c>
    </row>
    <row r="9" spans="1:12" x14ac:dyDescent="0.25">
      <c r="A9" s="5" t="s">
        <v>16</v>
      </c>
      <c r="B9" s="6" t="s">
        <v>17</v>
      </c>
      <c r="C9" s="1">
        <v>23260</v>
      </c>
      <c r="D9" s="1">
        <v>11463</v>
      </c>
      <c r="E9" s="1"/>
      <c r="F9" s="1">
        <v>111904.42</v>
      </c>
      <c r="G9" s="1">
        <v>54902.11</v>
      </c>
      <c r="H9" s="2">
        <v>54166.71</v>
      </c>
      <c r="I9" s="2">
        <v>50020</v>
      </c>
      <c r="J9" s="4">
        <v>50020</v>
      </c>
      <c r="K9" s="38">
        <v>0</v>
      </c>
      <c r="L9" s="10">
        <v>0</v>
      </c>
    </row>
    <row r="10" spans="1:12" x14ac:dyDescent="0.25">
      <c r="A10" s="5" t="s">
        <v>18</v>
      </c>
      <c r="B10" s="6" t="s">
        <v>19</v>
      </c>
      <c r="C10" s="1">
        <v>151121.93</v>
      </c>
      <c r="D10" s="1">
        <v>172362.56</v>
      </c>
      <c r="E10" s="1">
        <v>189916.54</v>
      </c>
      <c r="F10" s="1">
        <v>238790.95</v>
      </c>
      <c r="G10" s="1">
        <v>242838.72</v>
      </c>
      <c r="H10" s="2">
        <v>257737.08</v>
      </c>
      <c r="I10" s="2">
        <v>262377.46000000002</v>
      </c>
      <c r="J10" s="4">
        <v>271109.01438000001</v>
      </c>
      <c r="K10" s="38">
        <v>8731.5543799999868</v>
      </c>
      <c r="L10" s="10">
        <v>3.3278599388834706E-2</v>
      </c>
    </row>
    <row r="11" spans="1:12" x14ac:dyDescent="0.25">
      <c r="A11" s="5" t="s">
        <v>20</v>
      </c>
      <c r="B11" s="6" t="s">
        <v>21</v>
      </c>
      <c r="C11" s="1">
        <v>30447.730000000003</v>
      </c>
      <c r="D11" s="1">
        <v>33099.370000000003</v>
      </c>
      <c r="E11" s="1">
        <v>66947.94</v>
      </c>
      <c r="F11" s="1">
        <v>70078.399999999994</v>
      </c>
      <c r="G11" s="1">
        <v>59784.54</v>
      </c>
      <c r="H11" s="2">
        <v>68431.78</v>
      </c>
      <c r="I11" s="2">
        <v>57477.5625</v>
      </c>
      <c r="J11" s="4">
        <v>54984.044503768993</v>
      </c>
      <c r="K11" s="38">
        <v>-2493.5179962310067</v>
      </c>
      <c r="L11" s="10">
        <v>-4.3382458959198344E-2</v>
      </c>
    </row>
    <row r="12" spans="1:12" x14ac:dyDescent="0.25">
      <c r="A12" s="5" t="s">
        <v>22</v>
      </c>
      <c r="B12" s="6" t="s">
        <v>23</v>
      </c>
      <c r="C12" s="1">
        <v>7451.62</v>
      </c>
      <c r="D12" s="1">
        <v>42997.85</v>
      </c>
      <c r="E12" s="1">
        <v>39174.339999999997</v>
      </c>
      <c r="F12" s="1">
        <v>38762.42</v>
      </c>
      <c r="G12" s="1">
        <v>43237.77</v>
      </c>
      <c r="H12" s="2">
        <v>48246.29</v>
      </c>
      <c r="I12" s="2">
        <v>42000</v>
      </c>
      <c r="J12" s="4">
        <v>42000</v>
      </c>
      <c r="K12" s="38">
        <v>0</v>
      </c>
      <c r="L12" s="10">
        <v>0</v>
      </c>
    </row>
    <row r="13" spans="1:12" x14ac:dyDescent="0.25">
      <c r="A13" s="5" t="s">
        <v>24</v>
      </c>
      <c r="B13" s="6" t="s">
        <v>25</v>
      </c>
      <c r="C13" s="1">
        <v>29011.32</v>
      </c>
      <c r="D13" s="1">
        <v>15829.73</v>
      </c>
      <c r="E13" s="1">
        <v>15715.71</v>
      </c>
      <c r="F13" s="1">
        <v>13657.36</v>
      </c>
      <c r="G13" s="1">
        <v>17778.52</v>
      </c>
      <c r="H13" s="2">
        <v>19806.57</v>
      </c>
      <c r="I13" s="2">
        <v>15745</v>
      </c>
      <c r="J13" s="4">
        <v>16557.578000000001</v>
      </c>
      <c r="K13" s="38">
        <v>812.57800000000134</v>
      </c>
      <c r="L13" s="10">
        <v>5.1608637662750256E-2</v>
      </c>
    </row>
    <row r="14" spans="1:12" ht="15.75" thickBot="1" x14ac:dyDescent="0.3">
      <c r="A14" s="5"/>
      <c r="B14" s="6" t="s">
        <v>26</v>
      </c>
      <c r="C14" s="1">
        <v>4012.75</v>
      </c>
      <c r="D14" s="1">
        <v>4012.75</v>
      </c>
      <c r="E14" s="1">
        <v>4013</v>
      </c>
      <c r="F14" s="1">
        <v>4013</v>
      </c>
      <c r="G14" s="1">
        <v>4013</v>
      </c>
      <c r="H14" s="2">
        <v>4013</v>
      </c>
      <c r="I14" s="2"/>
      <c r="J14" s="4"/>
      <c r="K14" s="38">
        <v>0</v>
      </c>
      <c r="L14" s="10">
        <v>0</v>
      </c>
    </row>
    <row r="15" spans="1:12" ht="15.75" thickBot="1" x14ac:dyDescent="0.3">
      <c r="A15" s="39"/>
      <c r="B15" s="366" t="s">
        <v>27</v>
      </c>
      <c r="C15" s="367">
        <v>7171755.8900000006</v>
      </c>
      <c r="D15" s="367">
        <v>7964133.0099999998</v>
      </c>
      <c r="E15" s="367">
        <v>8274846.1499999994</v>
      </c>
      <c r="F15" s="367">
        <v>8490347.3399999999</v>
      </c>
      <c r="G15" s="367">
        <v>8929667.9099999983</v>
      </c>
      <c r="H15" s="368">
        <v>8969257.4399999995</v>
      </c>
      <c r="I15" s="369">
        <v>8927236.2928999998</v>
      </c>
      <c r="J15" s="425">
        <v>9191317.0521951914</v>
      </c>
      <c r="K15" s="370">
        <v>264080.75929519162</v>
      </c>
      <c r="L15" s="37">
        <v>2.4757859129438842E-2</v>
      </c>
    </row>
    <row r="16" spans="1:12" x14ac:dyDescent="0.25">
      <c r="A16" s="44" t="s">
        <v>28</v>
      </c>
      <c r="B16" s="45" t="s">
        <v>29</v>
      </c>
      <c r="C16" s="7">
        <v>454722.87</v>
      </c>
      <c r="D16" s="7">
        <v>535952.06000000006</v>
      </c>
      <c r="E16" s="7">
        <v>396.7</v>
      </c>
      <c r="F16" s="7">
        <v>75195.48</v>
      </c>
      <c r="G16" s="7">
        <v>4681.88</v>
      </c>
      <c r="H16" s="8">
        <v>9748.7199999999975</v>
      </c>
      <c r="I16" s="9"/>
      <c r="J16" s="3"/>
      <c r="K16" s="38">
        <v>0</v>
      </c>
      <c r="L16" s="10"/>
    </row>
    <row r="17" spans="1:14" ht="15.75" thickBot="1" x14ac:dyDescent="0.3">
      <c r="A17" s="46" t="s">
        <v>30</v>
      </c>
      <c r="B17" s="47" t="s">
        <v>31</v>
      </c>
      <c r="C17" s="11"/>
      <c r="D17" s="11"/>
      <c r="E17" s="11">
        <v>9024</v>
      </c>
      <c r="F17" s="11">
        <v>21543.23</v>
      </c>
      <c r="G17" s="11">
        <v>25401.75</v>
      </c>
      <c r="H17" s="12">
        <v>26895.31</v>
      </c>
      <c r="I17" s="13">
        <v>1496495</v>
      </c>
      <c r="J17" s="14">
        <v>24613.429999999997</v>
      </c>
      <c r="K17" s="38">
        <v>-1471881.57</v>
      </c>
      <c r="L17" s="10">
        <v>-0.98355261460947085</v>
      </c>
    </row>
    <row r="18" spans="1:14" ht="15.75" thickBot="1" x14ac:dyDescent="0.3">
      <c r="A18" s="48"/>
      <c r="B18" s="40" t="s">
        <v>32</v>
      </c>
      <c r="C18" s="41">
        <v>7626478.7600000007</v>
      </c>
      <c r="D18" s="41">
        <v>8500085.0700000003</v>
      </c>
      <c r="E18" s="41">
        <v>8284266.8499999996</v>
      </c>
      <c r="F18" s="41">
        <v>8587086.0500000007</v>
      </c>
      <c r="G18" s="49">
        <v>8959751.5399999991</v>
      </c>
      <c r="H18" s="49">
        <v>9005901.4700000007</v>
      </c>
      <c r="I18" s="41">
        <v>10423731.2929</v>
      </c>
      <c r="J18" s="423">
        <v>9215930.4821951911</v>
      </c>
      <c r="K18" s="42">
        <v>264080.75929519162</v>
      </c>
      <c r="L18" s="43">
        <v>-0.11587029411699123</v>
      </c>
    </row>
    <row r="19" spans="1:14" ht="15.75" thickBot="1" x14ac:dyDescent="0.3">
      <c r="A19" s="50"/>
      <c r="B19" s="51" t="s">
        <v>33</v>
      </c>
      <c r="C19" s="52"/>
      <c r="D19" s="52"/>
      <c r="E19" s="52"/>
      <c r="F19" s="52"/>
      <c r="G19" s="52"/>
      <c r="H19" s="52"/>
      <c r="I19" s="53"/>
      <c r="J19" s="424">
        <f>SUM(J5+J18)</f>
        <v>12097154.18219519</v>
      </c>
      <c r="K19" s="54"/>
      <c r="L19" s="55"/>
      <c r="N19" s="19"/>
    </row>
    <row r="20" spans="1:14" ht="15.75" thickBot="1" x14ac:dyDescent="0.3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38"/>
      <c r="L20" s="18"/>
    </row>
    <row r="21" spans="1:14" ht="27.75" thickBot="1" x14ac:dyDescent="0.3">
      <c r="A21" s="380" t="s">
        <v>34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2"/>
    </row>
    <row r="22" spans="1:14" ht="24" thickBot="1" x14ac:dyDescent="0.3">
      <c r="A22" s="352" t="s">
        <v>219</v>
      </c>
      <c r="B22" s="353"/>
      <c r="C22" s="353"/>
      <c r="D22" s="353"/>
      <c r="E22" s="353"/>
      <c r="F22" s="353"/>
      <c r="G22" s="353"/>
      <c r="H22" s="353"/>
      <c r="I22" s="353"/>
      <c r="J22" s="353"/>
      <c r="K22" s="407"/>
      <c r="L22" s="408"/>
    </row>
    <row r="23" spans="1:14" x14ac:dyDescent="0.25">
      <c r="A23" s="59"/>
      <c r="B23" s="60"/>
      <c r="C23" s="61" t="s">
        <v>1</v>
      </c>
      <c r="D23" s="62" t="s">
        <v>1</v>
      </c>
      <c r="E23" s="62" t="s">
        <v>1</v>
      </c>
      <c r="F23" s="62" t="s">
        <v>1</v>
      </c>
      <c r="G23" s="62" t="s">
        <v>1</v>
      </c>
      <c r="H23" s="62" t="s">
        <v>1</v>
      </c>
      <c r="I23" s="24" t="s">
        <v>36</v>
      </c>
      <c r="J23" s="63" t="s">
        <v>4</v>
      </c>
      <c r="K23" s="344" t="s">
        <v>37</v>
      </c>
      <c r="L23" s="345"/>
    </row>
    <row r="24" spans="1:14" ht="15.75" x14ac:dyDescent="0.25">
      <c r="A24" s="346" t="s">
        <v>38</v>
      </c>
      <c r="B24" s="347"/>
      <c r="C24" s="65">
        <v>2010</v>
      </c>
      <c r="D24" s="66">
        <v>2011</v>
      </c>
      <c r="E24" s="66">
        <v>2012</v>
      </c>
      <c r="F24" s="66">
        <v>2013</v>
      </c>
      <c r="G24" s="66">
        <v>2014</v>
      </c>
      <c r="H24" s="66">
        <v>2015</v>
      </c>
      <c r="I24" s="67">
        <v>2016</v>
      </c>
      <c r="J24" s="68">
        <v>2017</v>
      </c>
      <c r="K24" s="69" t="s">
        <v>5</v>
      </c>
      <c r="L24" s="70" t="s">
        <v>6</v>
      </c>
    </row>
    <row r="25" spans="1:14" x14ac:dyDescent="0.25">
      <c r="A25" s="71">
        <v>1031</v>
      </c>
      <c r="B25" s="72" t="s">
        <v>39</v>
      </c>
      <c r="C25" s="73">
        <v>504276</v>
      </c>
      <c r="D25" s="74">
        <v>507319.78</v>
      </c>
      <c r="E25" s="74">
        <v>502724.94</v>
      </c>
      <c r="F25" s="74">
        <v>500182.05</v>
      </c>
      <c r="G25" s="74">
        <v>502250</v>
      </c>
      <c r="H25" s="74">
        <v>497258.89</v>
      </c>
      <c r="I25" s="74">
        <v>470733</v>
      </c>
      <c r="J25" s="75">
        <v>442555</v>
      </c>
      <c r="K25" s="76">
        <v>-28178</v>
      </c>
      <c r="L25" s="77">
        <v>-5.9859835618067958E-2</v>
      </c>
    </row>
    <row r="26" spans="1:14" x14ac:dyDescent="0.25">
      <c r="A26" s="78">
        <v>1032</v>
      </c>
      <c r="B26" s="79" t="s">
        <v>40</v>
      </c>
      <c r="C26" s="80">
        <v>6549892</v>
      </c>
      <c r="D26" s="81">
        <v>6649406.7400000002</v>
      </c>
      <c r="E26" s="81">
        <v>6526558.54</v>
      </c>
      <c r="F26" s="81">
        <v>6748557.3899999997</v>
      </c>
      <c r="G26" s="81">
        <v>7144384.3799999999</v>
      </c>
      <c r="H26" s="81">
        <v>7187170.96</v>
      </c>
      <c r="I26" s="81">
        <v>7980860</v>
      </c>
      <c r="J26" s="82">
        <v>8238573.0987951923</v>
      </c>
      <c r="K26" s="76">
        <v>257713.09879519232</v>
      </c>
      <c r="L26" s="77">
        <v>3.2291394510766125E-2</v>
      </c>
    </row>
    <row r="27" spans="1:14" ht="15.75" thickBot="1" x14ac:dyDescent="0.3">
      <c r="A27" s="83">
        <v>1033</v>
      </c>
      <c r="B27" s="84" t="s">
        <v>41</v>
      </c>
      <c r="C27" s="85">
        <v>636620</v>
      </c>
      <c r="D27" s="86">
        <v>478637.16</v>
      </c>
      <c r="E27" s="86">
        <v>439682.03</v>
      </c>
      <c r="F27" s="86">
        <v>470391.66</v>
      </c>
      <c r="G27" s="86">
        <v>477121.41</v>
      </c>
      <c r="H27" s="86">
        <v>476875.38</v>
      </c>
      <c r="I27" s="86">
        <v>566626</v>
      </c>
      <c r="J27" s="87">
        <v>510188.95339999994</v>
      </c>
      <c r="K27" s="88">
        <v>-56437.04660000006</v>
      </c>
      <c r="L27" s="89">
        <v>-9.9601936021291082E-2</v>
      </c>
    </row>
    <row r="28" spans="1:14" ht="15.75" thickBot="1" x14ac:dyDescent="0.3">
      <c r="A28" s="340" t="s">
        <v>42</v>
      </c>
      <c r="B28" s="341"/>
      <c r="C28" s="90">
        <f t="shared" ref="C28:J28" si="0">SUM(C25:C27)</f>
        <v>7690788</v>
      </c>
      <c r="D28" s="90">
        <f t="shared" si="0"/>
        <v>7635363.6800000006</v>
      </c>
      <c r="E28" s="90">
        <f t="shared" si="0"/>
        <v>7468965.5100000007</v>
      </c>
      <c r="F28" s="90">
        <f t="shared" si="0"/>
        <v>7719131.0999999996</v>
      </c>
      <c r="G28" s="91">
        <f t="shared" si="0"/>
        <v>8123755.79</v>
      </c>
      <c r="H28" s="91">
        <f t="shared" si="0"/>
        <v>8161305.2299999995</v>
      </c>
      <c r="I28" s="92">
        <f t="shared" si="0"/>
        <v>9018219</v>
      </c>
      <c r="J28" s="426">
        <f t="shared" si="0"/>
        <v>9191317.0521951914</v>
      </c>
      <c r="K28" s="94">
        <f>J28-I28</f>
        <v>173098.05219519138</v>
      </c>
      <c r="L28" s="95">
        <f>IF(ISERROR((J28/I28)-1),0,(J28/I28)-1)</f>
        <v>1.9194261327562634E-2</v>
      </c>
    </row>
    <row r="29" spans="1:14" ht="15.75" thickBot="1" x14ac:dyDescent="0.3">
      <c r="A29" s="58"/>
      <c r="B29" s="58"/>
      <c r="C29" s="58"/>
      <c r="D29" s="96"/>
      <c r="E29" s="96"/>
      <c r="F29" s="96"/>
      <c r="G29" s="96"/>
      <c r="H29" s="96"/>
      <c r="I29" s="96"/>
      <c r="J29" s="96"/>
      <c r="K29" s="97"/>
      <c r="L29" s="58"/>
    </row>
    <row r="30" spans="1:14" ht="24" thickBot="1" x14ac:dyDescent="0.3">
      <c r="A30" s="352" t="s">
        <v>43</v>
      </c>
      <c r="B30" s="353"/>
      <c r="C30" s="353"/>
      <c r="D30" s="353"/>
      <c r="E30" s="353"/>
      <c r="F30" s="353"/>
      <c r="G30" s="353"/>
      <c r="H30" s="353"/>
      <c r="I30" s="353"/>
      <c r="J30" s="354"/>
      <c r="K30" s="58"/>
      <c r="L30" s="96"/>
    </row>
    <row r="31" spans="1:14" x14ac:dyDescent="0.25">
      <c r="A31" s="59"/>
      <c r="B31" s="60"/>
      <c r="C31" s="61" t="s">
        <v>1</v>
      </c>
      <c r="D31" s="62" t="s">
        <v>1</v>
      </c>
      <c r="E31" s="62" t="s">
        <v>1</v>
      </c>
      <c r="F31" s="62" t="s">
        <v>1</v>
      </c>
      <c r="G31" s="62" t="s">
        <v>1</v>
      </c>
      <c r="H31" s="62" t="s">
        <v>1</v>
      </c>
      <c r="I31" s="24" t="s">
        <v>36</v>
      </c>
      <c r="J31" s="25" t="s">
        <v>44</v>
      </c>
      <c r="K31" s="58"/>
      <c r="L31" s="58"/>
    </row>
    <row r="32" spans="1:14" ht="15.75" x14ac:dyDescent="0.25">
      <c r="A32" s="346" t="s">
        <v>38</v>
      </c>
      <c r="B32" s="347"/>
      <c r="C32" s="65">
        <v>2010</v>
      </c>
      <c r="D32" s="66">
        <v>2011</v>
      </c>
      <c r="E32" s="66">
        <v>2012</v>
      </c>
      <c r="F32" s="66">
        <v>2013</v>
      </c>
      <c r="G32" s="66">
        <v>2014</v>
      </c>
      <c r="H32" s="66">
        <v>2015</v>
      </c>
      <c r="I32" s="67">
        <v>2016</v>
      </c>
      <c r="J32" s="68">
        <v>2017</v>
      </c>
      <c r="K32" s="98"/>
      <c r="L32" s="99"/>
    </row>
    <row r="33" spans="1:12" x14ac:dyDescent="0.25">
      <c r="A33" s="71">
        <v>1034</v>
      </c>
      <c r="B33" s="72" t="s">
        <v>45</v>
      </c>
      <c r="C33" s="74">
        <v>531469</v>
      </c>
      <c r="D33" s="74">
        <v>221339.92</v>
      </c>
      <c r="E33" s="74">
        <v>117719.73</v>
      </c>
      <c r="F33" s="74">
        <v>101292.02</v>
      </c>
      <c r="G33" s="74">
        <v>225497.93</v>
      </c>
      <c r="H33" s="115">
        <v>269176.19</v>
      </c>
      <c r="I33" s="74">
        <v>135452.33000000002</v>
      </c>
      <c r="J33" s="417">
        <f>Page5!K24</f>
        <v>413760</v>
      </c>
      <c r="K33" s="58"/>
      <c r="L33" s="99"/>
    </row>
    <row r="34" spans="1:12" x14ac:dyDescent="0.25">
      <c r="A34" s="71">
        <v>1035</v>
      </c>
      <c r="B34" s="72" t="s">
        <v>46</v>
      </c>
      <c r="C34" s="74">
        <v>0</v>
      </c>
      <c r="D34" s="74">
        <v>720990.86</v>
      </c>
      <c r="E34" s="74">
        <v>0</v>
      </c>
      <c r="F34" s="74">
        <v>0</v>
      </c>
      <c r="G34" s="74">
        <v>19385.560000000001</v>
      </c>
      <c r="H34" s="115">
        <v>21712.49</v>
      </c>
      <c r="I34" s="74">
        <v>100981</v>
      </c>
      <c r="J34" s="417">
        <v>58288</v>
      </c>
      <c r="K34" s="58"/>
      <c r="L34" s="96"/>
    </row>
    <row r="35" spans="1:12" x14ac:dyDescent="0.25">
      <c r="A35" s="71">
        <v>1036</v>
      </c>
      <c r="B35" s="72" t="s">
        <v>47</v>
      </c>
      <c r="C35" s="74"/>
      <c r="D35" s="74">
        <v>0</v>
      </c>
      <c r="E35" s="74">
        <v>89043.58</v>
      </c>
      <c r="F35" s="74">
        <v>72287.199999999997</v>
      </c>
      <c r="G35" s="74"/>
      <c r="H35" s="115"/>
      <c r="I35" s="74">
        <v>500000</v>
      </c>
      <c r="J35" s="417">
        <v>0</v>
      </c>
      <c r="K35" s="58"/>
      <c r="L35" s="58"/>
    </row>
    <row r="36" spans="1:12" x14ac:dyDescent="0.25">
      <c r="A36" s="71">
        <v>1037</v>
      </c>
      <c r="B36" s="72" t="s">
        <v>48</v>
      </c>
      <c r="C36" s="74"/>
      <c r="D36" s="100"/>
      <c r="E36" s="74">
        <v>45133.52</v>
      </c>
      <c r="F36" s="74">
        <v>0</v>
      </c>
      <c r="G36" s="74">
        <v>19902.77</v>
      </c>
      <c r="H36" s="115">
        <v>743815.1</v>
      </c>
      <c r="I36" s="74">
        <v>399025.196</v>
      </c>
      <c r="J36" s="417">
        <v>137256.70000000001</v>
      </c>
      <c r="K36" s="96"/>
      <c r="L36" s="96"/>
    </row>
    <row r="37" spans="1:12" ht="15.75" thickBot="1" x14ac:dyDescent="0.3">
      <c r="A37" s="71">
        <v>1038</v>
      </c>
      <c r="B37" s="72" t="s">
        <v>49</v>
      </c>
      <c r="C37" s="74"/>
      <c r="D37" s="74"/>
      <c r="E37" s="74"/>
      <c r="F37" s="74"/>
      <c r="G37" s="74"/>
      <c r="H37" s="115"/>
      <c r="I37" s="74">
        <v>1461495</v>
      </c>
      <c r="J37" s="417"/>
      <c r="K37" s="99"/>
      <c r="L37" s="99"/>
    </row>
    <row r="38" spans="1:12" ht="15.75" thickBot="1" x14ac:dyDescent="0.3">
      <c r="A38" s="348" t="s">
        <v>50</v>
      </c>
      <c r="B38" s="349"/>
      <c r="C38" s="101">
        <f t="shared" ref="C38:J38" si="1">SUM(C33:C37)</f>
        <v>531469</v>
      </c>
      <c r="D38" s="101">
        <f t="shared" si="1"/>
        <v>942330.78</v>
      </c>
      <c r="E38" s="101">
        <f t="shared" si="1"/>
        <v>251896.83</v>
      </c>
      <c r="F38" s="101">
        <f t="shared" si="1"/>
        <v>173579.22</v>
      </c>
      <c r="G38" s="101">
        <f t="shared" si="1"/>
        <v>264786.26</v>
      </c>
      <c r="H38" s="101">
        <f t="shared" si="1"/>
        <v>1034703.78</v>
      </c>
      <c r="I38" s="101">
        <f t="shared" si="1"/>
        <v>2596953.5260000001</v>
      </c>
      <c r="J38" s="102">
        <f t="shared" si="1"/>
        <v>609304.69999999995</v>
      </c>
      <c r="K38" s="99"/>
      <c r="L38" s="103"/>
    </row>
    <row r="39" spans="1:12" ht="15.75" thickBot="1" x14ac:dyDescent="0.3">
      <c r="A39" s="64"/>
      <c r="B39" s="64"/>
      <c r="C39" s="104"/>
      <c r="D39" s="104"/>
      <c r="E39" s="104"/>
      <c r="F39" s="104"/>
      <c r="G39" s="105"/>
      <c r="H39" s="104"/>
      <c r="I39" s="104"/>
      <c r="J39" s="96"/>
      <c r="K39" s="58"/>
      <c r="L39" s="96"/>
    </row>
    <row r="40" spans="1:12" ht="15.75" thickBot="1" x14ac:dyDescent="0.3">
      <c r="A40" s="338" t="s">
        <v>51</v>
      </c>
      <c r="B40" s="339"/>
      <c r="C40" s="106">
        <f t="shared" ref="C40:I40" si="2">C28+C33+C34+C35+C36+C37</f>
        <v>8222257</v>
      </c>
      <c r="D40" s="106">
        <f t="shared" si="2"/>
        <v>8577694.4600000009</v>
      </c>
      <c r="E40" s="106">
        <f t="shared" si="2"/>
        <v>7720862.3400000008</v>
      </c>
      <c r="F40" s="107">
        <f t="shared" si="2"/>
        <v>7892710.3199999994</v>
      </c>
      <c r="G40" s="108">
        <f t="shared" si="2"/>
        <v>8388542.0499999989</v>
      </c>
      <c r="H40" s="108">
        <f t="shared" si="2"/>
        <v>9196009.0099999998</v>
      </c>
      <c r="I40" s="106">
        <f t="shared" si="2"/>
        <v>11615172.526000001</v>
      </c>
      <c r="J40" s="420">
        <f>J28+J38</f>
        <v>9800621.7521951906</v>
      </c>
      <c r="K40" s="109"/>
      <c r="L40" s="99"/>
    </row>
    <row r="41" spans="1:12" ht="15.75" thickBot="1" x14ac:dyDescent="0.3">
      <c r="A41" s="340" t="s">
        <v>52</v>
      </c>
      <c r="B41" s="341"/>
      <c r="C41" s="110"/>
      <c r="D41" s="110"/>
      <c r="E41" s="110"/>
      <c r="F41" s="110"/>
      <c r="G41" s="110"/>
      <c r="H41" s="110"/>
      <c r="I41" s="111"/>
      <c r="J41" s="421">
        <v>2296532</v>
      </c>
      <c r="K41" s="58"/>
      <c r="L41" s="112"/>
    </row>
    <row r="42" spans="1:12" ht="15.75" thickBot="1" x14ac:dyDescent="0.3">
      <c r="A42" s="342" t="s">
        <v>53</v>
      </c>
      <c r="B42" s="343"/>
      <c r="C42" s="113"/>
      <c r="D42" s="113"/>
      <c r="E42" s="113"/>
      <c r="F42" s="113"/>
      <c r="G42" s="113"/>
      <c r="H42" s="113"/>
      <c r="I42" s="114"/>
      <c r="J42" s="419">
        <f>SUM(J40:J41)</f>
        <v>12097153.752195191</v>
      </c>
      <c r="K42" s="58"/>
      <c r="L42" s="96"/>
    </row>
  </sheetData>
  <mergeCells count="15">
    <mergeCell ref="K3:L3"/>
    <mergeCell ref="K1:L1"/>
    <mergeCell ref="A1:J1"/>
    <mergeCell ref="A2:L2"/>
    <mergeCell ref="A40:B40"/>
    <mergeCell ref="A41:B41"/>
    <mergeCell ref="A42:B42"/>
    <mergeCell ref="A22:L22"/>
    <mergeCell ref="K23:L23"/>
    <mergeCell ref="A24:B24"/>
    <mergeCell ref="A28:B28"/>
    <mergeCell ref="A30:J30"/>
    <mergeCell ref="A32:B32"/>
    <mergeCell ref="A38:B38"/>
    <mergeCell ref="A21:L21"/>
  </mergeCells>
  <pageMargins left="0.7" right="0.7" top="0.25" bottom="0.25" header="0.3" footer="0.3"/>
  <pageSetup paperSize="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0" workbookViewId="0">
      <selection activeCell="J18" sqref="J18"/>
    </sheetView>
  </sheetViews>
  <sheetFormatPr defaultRowHeight="15" x14ac:dyDescent="0.25"/>
  <cols>
    <col min="1" max="1" width="14.140625" customWidth="1"/>
    <col min="2" max="2" width="32.28515625" customWidth="1"/>
    <col min="3" max="3" width="9.7109375" bestFit="1" customWidth="1"/>
    <col min="4" max="9" width="12.28515625" bestFit="1" customWidth="1"/>
    <col min="10" max="10" width="12" bestFit="1" customWidth="1"/>
    <col min="11" max="12" width="12.28515625" bestFit="1" customWidth="1"/>
  </cols>
  <sheetData>
    <row r="1" spans="1:12" ht="27.75" thickBot="1" x14ac:dyDescent="0.4">
      <c r="A1" s="384" t="s">
        <v>314</v>
      </c>
      <c r="B1" s="384"/>
      <c r="C1" s="384"/>
      <c r="D1" s="384"/>
      <c r="E1" s="384"/>
      <c r="F1" s="384"/>
      <c r="G1" s="384"/>
      <c r="H1" s="384"/>
      <c r="I1" s="384"/>
      <c r="J1" s="384"/>
      <c r="K1" s="350" t="s">
        <v>224</v>
      </c>
      <c r="L1" s="350"/>
    </row>
    <row r="2" spans="1:12" ht="24" thickBot="1" x14ac:dyDescent="0.4">
      <c r="A2" s="186"/>
      <c r="B2" s="409" t="s">
        <v>222</v>
      </c>
      <c r="C2" s="410"/>
      <c r="D2" s="410"/>
      <c r="E2" s="410"/>
      <c r="F2" s="411"/>
      <c r="G2" s="186"/>
      <c r="H2" s="186"/>
      <c r="I2" s="186"/>
      <c r="J2" s="186"/>
      <c r="K2" s="186"/>
      <c r="L2" s="186"/>
    </row>
    <row r="3" spans="1:12" x14ac:dyDescent="0.25">
      <c r="B3" s="183"/>
      <c r="C3" s="118"/>
      <c r="D3" s="119" t="s">
        <v>54</v>
      </c>
      <c r="E3" s="120"/>
      <c r="F3" s="63"/>
    </row>
    <row r="4" spans="1:12" x14ac:dyDescent="0.25">
      <c r="B4" s="184"/>
      <c r="C4" s="24"/>
      <c r="D4" s="122" t="s">
        <v>55</v>
      </c>
      <c r="E4" s="123" t="s">
        <v>56</v>
      </c>
      <c r="F4" s="25" t="s">
        <v>55</v>
      </c>
    </row>
    <row r="5" spans="1:12" ht="15.75" x14ac:dyDescent="0.25">
      <c r="B5" s="124" t="s">
        <v>57</v>
      </c>
      <c r="C5" s="29"/>
      <c r="D5" s="126">
        <v>2016</v>
      </c>
      <c r="E5" s="127">
        <v>2017</v>
      </c>
      <c r="F5" s="30">
        <v>2017</v>
      </c>
    </row>
    <row r="6" spans="1:12" x14ac:dyDescent="0.25">
      <c r="B6" s="128" t="s">
        <v>58</v>
      </c>
      <c r="C6" s="96"/>
      <c r="D6" s="129">
        <v>1102958</v>
      </c>
      <c r="E6" s="130">
        <v>0</v>
      </c>
      <c r="F6" s="130">
        <f t="shared" ref="F6:F12" si="0">D6+E6</f>
        <v>1102958</v>
      </c>
    </row>
    <row r="7" spans="1:12" x14ac:dyDescent="0.25">
      <c r="B7" s="128" t="s">
        <v>59</v>
      </c>
      <c r="C7" s="96"/>
      <c r="D7" s="129">
        <v>137256.70000000001</v>
      </c>
      <c r="E7" s="131">
        <v>-137256.70000000001</v>
      </c>
      <c r="F7" s="130">
        <f t="shared" si="0"/>
        <v>0</v>
      </c>
    </row>
    <row r="8" spans="1:12" x14ac:dyDescent="0.25">
      <c r="B8" s="128" t="s">
        <v>221</v>
      </c>
      <c r="C8" s="96"/>
      <c r="D8" s="129">
        <v>500000</v>
      </c>
      <c r="E8" s="132">
        <f>-82200+0.85</f>
        <v>-82199.149999999994</v>
      </c>
      <c r="F8" s="130">
        <f t="shared" si="0"/>
        <v>417800.85</v>
      </c>
    </row>
    <row r="9" spans="1:12" x14ac:dyDescent="0.25">
      <c r="B9" s="128" t="s">
        <v>220</v>
      </c>
      <c r="C9" s="96"/>
      <c r="D9" s="129">
        <v>500000</v>
      </c>
      <c r="E9" s="132">
        <v>-306947</v>
      </c>
      <c r="F9" s="130">
        <f t="shared" si="0"/>
        <v>193053</v>
      </c>
    </row>
    <row r="10" spans="1:12" x14ac:dyDescent="0.25">
      <c r="B10" s="128" t="s">
        <v>60</v>
      </c>
      <c r="C10" s="96"/>
      <c r="D10" s="129">
        <v>450000</v>
      </c>
      <c r="E10" s="131"/>
      <c r="F10" s="130">
        <f t="shared" si="0"/>
        <v>450000</v>
      </c>
    </row>
    <row r="11" spans="1:12" x14ac:dyDescent="0.25">
      <c r="B11" s="128" t="s">
        <v>61</v>
      </c>
      <c r="C11" s="96"/>
      <c r="D11" s="129">
        <v>58288</v>
      </c>
      <c r="E11" s="132">
        <v>-58288</v>
      </c>
      <c r="F11" s="130">
        <f t="shared" si="0"/>
        <v>0</v>
      </c>
    </row>
    <row r="12" spans="1:12" ht="15.75" thickBot="1" x14ac:dyDescent="0.3">
      <c r="B12" s="133" t="s">
        <v>62</v>
      </c>
      <c r="C12" s="134"/>
      <c r="D12" s="135">
        <v>132721</v>
      </c>
      <c r="E12" s="136"/>
      <c r="F12" s="130">
        <v>132720</v>
      </c>
      <c r="H12" s="418"/>
      <c r="I12" s="418"/>
      <c r="J12" s="418"/>
      <c r="K12" s="418"/>
    </row>
    <row r="13" spans="1:12" ht="15.75" thickBot="1" x14ac:dyDescent="0.3">
      <c r="B13" s="185"/>
      <c r="C13" s="137"/>
      <c r="D13" s="138">
        <f>SUM(D6:D12)</f>
        <v>2881223.7</v>
      </c>
      <c r="E13" s="139">
        <f>SUM(E6:E12)</f>
        <v>-584690.85</v>
      </c>
      <c r="F13" s="139">
        <f>SUM(F6:F12)</f>
        <v>2296531.85</v>
      </c>
    </row>
    <row r="14" spans="1:12" ht="10.5" customHeight="1" thickBot="1" x14ac:dyDescent="0.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8"/>
      <c r="L14" s="288"/>
    </row>
    <row r="15" spans="1:12" ht="24" thickBot="1" x14ac:dyDescent="0.3">
      <c r="A15" s="352" t="s">
        <v>246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4"/>
    </row>
    <row r="16" spans="1:12" x14ac:dyDescent="0.25">
      <c r="A16" s="116"/>
      <c r="B16" s="117"/>
      <c r="C16" s="141" t="s">
        <v>1</v>
      </c>
      <c r="D16" s="141" t="s">
        <v>1</v>
      </c>
      <c r="E16" s="141" t="s">
        <v>1</v>
      </c>
      <c r="F16" s="142" t="s">
        <v>1</v>
      </c>
      <c r="G16" s="142" t="s">
        <v>1</v>
      </c>
      <c r="H16" s="142" t="s">
        <v>1</v>
      </c>
      <c r="I16" s="118" t="s">
        <v>36</v>
      </c>
      <c r="J16" s="63" t="s">
        <v>4</v>
      </c>
      <c r="K16" s="118" t="s">
        <v>63</v>
      </c>
      <c r="L16" s="143" t="s">
        <v>63</v>
      </c>
    </row>
    <row r="17" spans="1:12" ht="16.5" thickBot="1" x14ac:dyDescent="0.3">
      <c r="A17" s="144" t="s">
        <v>35</v>
      </c>
      <c r="B17" s="145" t="s">
        <v>7</v>
      </c>
      <c r="C17" s="146">
        <v>2010</v>
      </c>
      <c r="D17" s="146">
        <v>2011</v>
      </c>
      <c r="E17" s="146">
        <v>2012</v>
      </c>
      <c r="F17" s="147">
        <v>2013</v>
      </c>
      <c r="G17" s="147">
        <v>2014</v>
      </c>
      <c r="H17" s="147">
        <v>2015</v>
      </c>
      <c r="I17" s="56">
        <v>2016</v>
      </c>
      <c r="J17" s="57">
        <v>2017</v>
      </c>
      <c r="K17" s="56">
        <v>2018</v>
      </c>
      <c r="L17" s="32">
        <v>2019</v>
      </c>
    </row>
    <row r="18" spans="1:12" ht="15.75" thickBot="1" x14ac:dyDescent="0.3">
      <c r="A18" s="148">
        <v>2911</v>
      </c>
      <c r="B18" s="148" t="s">
        <v>64</v>
      </c>
      <c r="C18" s="149">
        <v>504276</v>
      </c>
      <c r="D18" s="150">
        <v>503250</v>
      </c>
      <c r="E18" s="150">
        <v>502000</v>
      </c>
      <c r="F18" s="150">
        <v>500000</v>
      </c>
      <c r="G18" s="150">
        <v>502250</v>
      </c>
      <c r="H18" s="150">
        <v>497258.89</v>
      </c>
      <c r="I18" s="150">
        <v>470733</v>
      </c>
      <c r="J18" s="152">
        <v>446014</v>
      </c>
      <c r="K18" s="150">
        <f>397995+46121</f>
        <v>444116</v>
      </c>
      <c r="L18" s="151">
        <f>401865+40690</f>
        <v>442555</v>
      </c>
    </row>
    <row r="19" spans="1:12" ht="12" customHeight="1" x14ac:dyDescent="0.4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  <row r="20" spans="1:12" ht="15.75" thickBot="1" x14ac:dyDescent="0.3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24" thickBot="1" x14ac:dyDescent="0.3">
      <c r="A21" s="406" t="s">
        <v>247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8"/>
    </row>
    <row r="22" spans="1:12" ht="15.75" x14ac:dyDescent="0.25">
      <c r="A22" s="59"/>
      <c r="B22" s="125"/>
      <c r="C22" s="193" t="s">
        <v>225</v>
      </c>
      <c r="D22" s="193" t="s">
        <v>1</v>
      </c>
      <c r="E22" s="193" t="s">
        <v>2</v>
      </c>
      <c r="F22" s="193" t="s">
        <v>2</v>
      </c>
      <c r="G22" s="193" t="s">
        <v>2</v>
      </c>
      <c r="H22" s="193" t="s">
        <v>226</v>
      </c>
      <c r="I22" s="193" t="s">
        <v>36</v>
      </c>
      <c r="J22" s="63" t="s">
        <v>44</v>
      </c>
      <c r="K22" s="194" t="s">
        <v>37</v>
      </c>
      <c r="L22" s="195" t="s">
        <v>37</v>
      </c>
    </row>
    <row r="23" spans="1:12" ht="15.75" x14ac:dyDescent="0.25">
      <c r="A23" s="398" t="s">
        <v>227</v>
      </c>
      <c r="B23" s="399"/>
      <c r="C23" s="196">
        <v>2010</v>
      </c>
      <c r="D23" s="196">
        <v>2011</v>
      </c>
      <c r="E23" s="196">
        <v>2012</v>
      </c>
      <c r="F23" s="196">
        <v>2013</v>
      </c>
      <c r="G23" s="196">
        <v>2014</v>
      </c>
      <c r="H23" s="196">
        <v>2015</v>
      </c>
      <c r="I23" s="196">
        <v>2016</v>
      </c>
      <c r="J23" s="30">
        <v>2017</v>
      </c>
      <c r="K23" s="155" t="s">
        <v>5</v>
      </c>
      <c r="L23" s="195" t="s">
        <v>6</v>
      </c>
    </row>
    <row r="24" spans="1:12" x14ac:dyDescent="0.25">
      <c r="A24" s="189" t="s">
        <v>228</v>
      </c>
      <c r="B24" s="140" t="s">
        <v>229</v>
      </c>
      <c r="C24" s="207"/>
      <c r="D24" s="190">
        <v>413.87</v>
      </c>
      <c r="E24" s="197">
        <v>775.74</v>
      </c>
      <c r="F24" s="197">
        <v>352.13</v>
      </c>
      <c r="G24" s="197">
        <v>515.37</v>
      </c>
      <c r="H24" s="197"/>
      <c r="I24" s="197"/>
      <c r="J24" s="191"/>
      <c r="K24" s="190">
        <f t="shared" ref="K24:K39" si="1">J24-I24</f>
        <v>0</v>
      </c>
      <c r="L24" s="198">
        <f t="shared" ref="L24:L39" si="2">IF(ISERROR((J24/I24)-1),0,(J24/I24)-1)</f>
        <v>0</v>
      </c>
    </row>
    <row r="25" spans="1:12" x14ac:dyDescent="0.25">
      <c r="A25" s="189" t="s">
        <v>230</v>
      </c>
      <c r="B25" s="140" t="s">
        <v>231</v>
      </c>
      <c r="C25" s="207"/>
      <c r="D25" s="208">
        <v>760.17</v>
      </c>
      <c r="E25" s="192">
        <v>3575.44</v>
      </c>
      <c r="F25" s="192">
        <v>2577.4899999999998</v>
      </c>
      <c r="G25" s="192">
        <v>1370.3</v>
      </c>
      <c r="H25" s="192">
        <v>447.69</v>
      </c>
      <c r="I25" s="192">
        <v>1500</v>
      </c>
      <c r="J25" s="191">
        <v>1521</v>
      </c>
      <c r="K25" s="190">
        <f t="shared" si="1"/>
        <v>21</v>
      </c>
      <c r="L25" s="198">
        <f t="shared" si="2"/>
        <v>1.4000000000000012E-2</v>
      </c>
    </row>
    <row r="26" spans="1:12" x14ac:dyDescent="0.25">
      <c r="A26" s="189" t="s">
        <v>232</v>
      </c>
      <c r="B26" s="140" t="s">
        <v>111</v>
      </c>
      <c r="C26" s="140"/>
      <c r="D26" s="140">
        <v>42629.05</v>
      </c>
      <c r="E26" s="140">
        <v>912.5</v>
      </c>
      <c r="F26" s="140">
        <v>25836.35</v>
      </c>
      <c r="G26" s="140">
        <v>25673.64</v>
      </c>
      <c r="H26" s="140">
        <v>922.85</v>
      </c>
      <c r="I26" s="140">
        <v>2669.76</v>
      </c>
      <c r="J26" s="191">
        <v>2682.8006399999999</v>
      </c>
      <c r="K26" s="190">
        <f t="shared" si="1"/>
        <v>13.040639999999712</v>
      </c>
      <c r="L26" s="198">
        <f t="shared" si="2"/>
        <v>4.8845738942824291E-3</v>
      </c>
    </row>
    <row r="27" spans="1:12" x14ac:dyDescent="0.25">
      <c r="A27" s="189" t="s">
        <v>233</v>
      </c>
      <c r="B27" s="140" t="s">
        <v>113</v>
      </c>
      <c r="C27" s="140">
        <v>486.73</v>
      </c>
      <c r="D27" s="140">
        <v>17852.04</v>
      </c>
      <c r="E27" s="140">
        <v>985.46</v>
      </c>
      <c r="F27" s="140">
        <v>2280.6</v>
      </c>
      <c r="G27" s="140">
        <v>3230.77</v>
      </c>
      <c r="H27" s="140">
        <v>16742.09</v>
      </c>
      <c r="I27" s="140">
        <v>20000</v>
      </c>
      <c r="J27" s="191">
        <v>10140</v>
      </c>
      <c r="K27" s="190">
        <f t="shared" si="1"/>
        <v>-9860</v>
      </c>
      <c r="L27" s="198">
        <f t="shared" si="2"/>
        <v>-0.49299999999999999</v>
      </c>
    </row>
    <row r="28" spans="1:12" x14ac:dyDescent="0.25">
      <c r="A28" s="189" t="s">
        <v>234</v>
      </c>
      <c r="B28" s="140" t="s">
        <v>115</v>
      </c>
      <c r="C28" s="140">
        <v>0</v>
      </c>
      <c r="D28" s="140">
        <v>0</v>
      </c>
      <c r="E28" s="140"/>
      <c r="F28" s="140">
        <v>955.66</v>
      </c>
      <c r="G28" s="140">
        <v>0</v>
      </c>
      <c r="H28" s="140"/>
      <c r="I28" s="140">
        <v>0</v>
      </c>
      <c r="J28" s="191"/>
      <c r="K28" s="190">
        <f t="shared" si="1"/>
        <v>0</v>
      </c>
      <c r="L28" s="198">
        <f t="shared" si="2"/>
        <v>0</v>
      </c>
    </row>
    <row r="29" spans="1:12" x14ac:dyDescent="0.25">
      <c r="A29" s="199" t="s">
        <v>116</v>
      </c>
      <c r="B29" s="239"/>
      <c r="C29" s="200">
        <f t="shared" ref="C29:J29" si="3">SUM(C24:C28)</f>
        <v>486.73</v>
      </c>
      <c r="D29" s="200">
        <f t="shared" si="3"/>
        <v>61655.130000000005</v>
      </c>
      <c r="E29" s="200">
        <f t="shared" si="3"/>
        <v>6249.14</v>
      </c>
      <c r="F29" s="200">
        <f t="shared" si="3"/>
        <v>32002.229999999996</v>
      </c>
      <c r="G29" s="200">
        <f t="shared" si="3"/>
        <v>30790.079999999998</v>
      </c>
      <c r="H29" s="200">
        <f t="shared" si="3"/>
        <v>18112.63</v>
      </c>
      <c r="I29" s="200">
        <f t="shared" si="3"/>
        <v>24169.760000000002</v>
      </c>
      <c r="J29" s="201">
        <f t="shared" si="3"/>
        <v>14343.800639999999</v>
      </c>
      <c r="K29" s="202">
        <f t="shared" si="1"/>
        <v>-9825.9593600000026</v>
      </c>
      <c r="L29" s="203">
        <f t="shared" si="2"/>
        <v>-0.40653938475185525</v>
      </c>
    </row>
    <row r="30" spans="1:12" x14ac:dyDescent="0.25">
      <c r="A30" s="189" t="s">
        <v>235</v>
      </c>
      <c r="B30" s="140" t="s">
        <v>130</v>
      </c>
      <c r="C30" s="140">
        <v>159833.67000000001</v>
      </c>
      <c r="D30" s="140">
        <v>163139.79</v>
      </c>
      <c r="E30" s="140">
        <v>147687.44</v>
      </c>
      <c r="F30" s="140">
        <v>148081.96</v>
      </c>
      <c r="G30" s="140">
        <v>151973.31</v>
      </c>
      <c r="H30" s="140">
        <v>151464.75</v>
      </c>
      <c r="I30" s="140">
        <v>155000</v>
      </c>
      <c r="J30" s="191">
        <v>153843.09641999999</v>
      </c>
      <c r="K30" s="190">
        <f t="shared" si="1"/>
        <v>-1156.9035800000129</v>
      </c>
      <c r="L30" s="198">
        <f t="shared" si="2"/>
        <v>-7.4638940645161966E-3</v>
      </c>
    </row>
    <row r="31" spans="1:12" x14ac:dyDescent="0.25">
      <c r="A31" s="189" t="s">
        <v>236</v>
      </c>
      <c r="B31" s="140" t="s">
        <v>237</v>
      </c>
      <c r="C31" s="140"/>
      <c r="D31" s="140">
        <v>-16115.45</v>
      </c>
      <c r="E31" s="140">
        <v>6523.58</v>
      </c>
      <c r="F31" s="140">
        <v>666.8</v>
      </c>
      <c r="G31" s="140">
        <v>0</v>
      </c>
      <c r="H31" s="140">
        <v>293.49</v>
      </c>
      <c r="I31" s="140">
        <v>20000</v>
      </c>
      <c r="J31" s="191">
        <v>1173.8672399999998</v>
      </c>
      <c r="K31" s="190">
        <f t="shared" si="1"/>
        <v>-18826.13276</v>
      </c>
      <c r="L31" s="198">
        <f t="shared" si="2"/>
        <v>-0.94130663800000003</v>
      </c>
    </row>
    <row r="32" spans="1:12" x14ac:dyDescent="0.25">
      <c r="A32" s="189" t="s">
        <v>238</v>
      </c>
      <c r="B32" s="140" t="s">
        <v>166</v>
      </c>
      <c r="C32" s="140"/>
      <c r="D32" s="140">
        <v>60943.06</v>
      </c>
      <c r="E32" s="140">
        <v>66507.460000000006</v>
      </c>
      <c r="F32" s="140">
        <v>80955.27</v>
      </c>
      <c r="G32" s="140">
        <v>61573.7</v>
      </c>
      <c r="H32" s="140">
        <v>85104.28</v>
      </c>
      <c r="I32" s="140">
        <v>125674.33</v>
      </c>
      <c r="J32" s="191">
        <v>108083.78909999999</v>
      </c>
      <c r="K32" s="190">
        <f t="shared" si="1"/>
        <v>-17590.540900000007</v>
      </c>
      <c r="L32" s="198">
        <f t="shared" si="2"/>
        <v>-0.13996924352013662</v>
      </c>
    </row>
    <row r="33" spans="1:12" x14ac:dyDescent="0.25">
      <c r="A33" s="199" t="s">
        <v>177</v>
      </c>
      <c r="B33" s="239"/>
      <c r="C33" s="200">
        <f t="shared" ref="C33:J33" si="4">SUM(C30:C32)</f>
        <v>159833.67000000001</v>
      </c>
      <c r="D33" s="200">
        <f t="shared" si="4"/>
        <v>207967.4</v>
      </c>
      <c r="E33" s="200">
        <f t="shared" si="4"/>
        <v>220718.47999999998</v>
      </c>
      <c r="F33" s="200">
        <f t="shared" si="4"/>
        <v>229704.02999999997</v>
      </c>
      <c r="G33" s="200">
        <f t="shared" si="4"/>
        <v>213547.01</v>
      </c>
      <c r="H33" s="200">
        <f t="shared" si="4"/>
        <v>236862.52</v>
      </c>
      <c r="I33" s="200">
        <f t="shared" si="4"/>
        <v>300674.33</v>
      </c>
      <c r="J33" s="201">
        <f t="shared" si="4"/>
        <v>263100.75275999994</v>
      </c>
      <c r="K33" s="202">
        <f t="shared" si="1"/>
        <v>-37573.577240000071</v>
      </c>
      <c r="L33" s="203">
        <f t="shared" si="2"/>
        <v>-0.12496436672861322</v>
      </c>
    </row>
    <row r="34" spans="1:12" x14ac:dyDescent="0.25">
      <c r="A34" s="189" t="s">
        <v>239</v>
      </c>
      <c r="B34" s="140" t="s">
        <v>240</v>
      </c>
      <c r="C34" s="140">
        <v>123498</v>
      </c>
      <c r="D34" s="140">
        <v>122427</v>
      </c>
      <c r="E34" s="140">
        <v>114233.69</v>
      </c>
      <c r="F34" s="140">
        <v>118126.08</v>
      </c>
      <c r="G34" s="140">
        <v>84155.21</v>
      </c>
      <c r="H34" s="140">
        <v>80431.92</v>
      </c>
      <c r="I34" s="140">
        <v>82496.759999999995</v>
      </c>
      <c r="J34" s="191">
        <v>86769</v>
      </c>
      <c r="K34" s="190">
        <f t="shared" si="1"/>
        <v>4272.2400000000052</v>
      </c>
      <c r="L34" s="198">
        <f t="shared" si="2"/>
        <v>5.1786761080071519E-2</v>
      </c>
    </row>
    <row r="35" spans="1:12" x14ac:dyDescent="0.25">
      <c r="A35" s="189" t="s">
        <v>241</v>
      </c>
      <c r="B35" s="140" t="s">
        <v>242</v>
      </c>
      <c r="C35" s="140">
        <v>73565.03</v>
      </c>
      <c r="D35" s="140">
        <v>83889.96</v>
      </c>
      <c r="E35" s="140">
        <v>83889.96</v>
      </c>
      <c r="F35" s="140">
        <v>80987.039999999994</v>
      </c>
      <c r="G35" s="140">
        <v>126267.97</v>
      </c>
      <c r="H35" s="140">
        <v>128655.96</v>
      </c>
      <c r="I35" s="140">
        <v>137032</v>
      </c>
      <c r="J35" s="191">
        <v>137032</v>
      </c>
      <c r="K35" s="190">
        <f t="shared" si="1"/>
        <v>0</v>
      </c>
      <c r="L35" s="198">
        <f t="shared" si="2"/>
        <v>0</v>
      </c>
    </row>
    <row r="36" spans="1:12" x14ac:dyDescent="0.25">
      <c r="A36" s="189" t="s">
        <v>243</v>
      </c>
      <c r="B36" s="140"/>
      <c r="C36" s="140"/>
      <c r="D36" s="140"/>
      <c r="E36" s="140"/>
      <c r="F36" s="140"/>
      <c r="G36" s="140"/>
      <c r="H36" s="140"/>
      <c r="I36" s="140">
        <v>1341.288</v>
      </c>
      <c r="J36" s="191">
        <v>1081.2</v>
      </c>
      <c r="K36" s="190">
        <f t="shared" si="1"/>
        <v>-260.08799999999997</v>
      </c>
      <c r="L36" s="198">
        <f t="shared" si="2"/>
        <v>-0.19390913808220156</v>
      </c>
    </row>
    <row r="37" spans="1:12" x14ac:dyDescent="0.25">
      <c r="A37" s="189" t="s">
        <v>244</v>
      </c>
      <c r="B37" s="140" t="s">
        <v>197</v>
      </c>
      <c r="C37" s="140">
        <v>17691</v>
      </c>
      <c r="D37" s="140">
        <v>2697.54</v>
      </c>
      <c r="E37" s="140">
        <v>14590.76</v>
      </c>
      <c r="F37" s="140">
        <v>9572.2800000000007</v>
      </c>
      <c r="G37" s="140">
        <v>22361.14</v>
      </c>
      <c r="H37" s="140">
        <v>7862.2</v>
      </c>
      <c r="I37" s="140">
        <v>20912</v>
      </c>
      <c r="J37" s="191">
        <v>7862.2</v>
      </c>
      <c r="K37" s="190">
        <f t="shared" si="1"/>
        <v>-13049.8</v>
      </c>
      <c r="L37" s="198">
        <f t="shared" si="2"/>
        <v>-0.6240340474368784</v>
      </c>
    </row>
    <row r="38" spans="1:12" ht="15.75" thickBot="1" x14ac:dyDescent="0.3">
      <c r="A38" s="199" t="s">
        <v>216</v>
      </c>
      <c r="B38" s="239"/>
      <c r="C38" s="200">
        <f t="shared" ref="C38:J38" si="5">SUM(C34:C37)</f>
        <v>214754.03</v>
      </c>
      <c r="D38" s="200">
        <f t="shared" si="5"/>
        <v>209014.50000000003</v>
      </c>
      <c r="E38" s="200">
        <f t="shared" si="5"/>
        <v>212714.41000000003</v>
      </c>
      <c r="F38" s="200">
        <f t="shared" si="5"/>
        <v>208685.4</v>
      </c>
      <c r="G38" s="200">
        <f t="shared" si="5"/>
        <v>232784.32</v>
      </c>
      <c r="H38" s="200">
        <f t="shared" si="5"/>
        <v>216950.08000000002</v>
      </c>
      <c r="I38" s="200">
        <f t="shared" si="5"/>
        <v>241782.04800000001</v>
      </c>
      <c r="J38" s="201">
        <f t="shared" si="5"/>
        <v>232744.40000000002</v>
      </c>
      <c r="K38" s="202">
        <f t="shared" si="1"/>
        <v>-9037.6479999999865</v>
      </c>
      <c r="L38" s="203">
        <f t="shared" si="2"/>
        <v>-3.7379317756461305E-2</v>
      </c>
    </row>
    <row r="39" spans="1:12" ht="15.75" thickBot="1" x14ac:dyDescent="0.3">
      <c r="A39" s="281" t="s">
        <v>245</v>
      </c>
      <c r="B39" s="281"/>
      <c r="C39" s="204">
        <f t="shared" ref="C39:J39" si="6">C29+C33+C38</f>
        <v>375074.43000000005</v>
      </c>
      <c r="D39" s="204">
        <f t="shared" si="6"/>
        <v>478637.03</v>
      </c>
      <c r="E39" s="204">
        <f t="shared" si="6"/>
        <v>439682.03</v>
      </c>
      <c r="F39" s="204">
        <f t="shared" si="6"/>
        <v>470391.65999999992</v>
      </c>
      <c r="G39" s="204">
        <f t="shared" si="6"/>
        <v>477121.41000000003</v>
      </c>
      <c r="H39" s="204">
        <f t="shared" si="6"/>
        <v>471925.23</v>
      </c>
      <c r="I39" s="204">
        <f t="shared" si="6"/>
        <v>566626.13800000004</v>
      </c>
      <c r="J39" s="93">
        <f t="shared" si="6"/>
        <v>510188.95339999994</v>
      </c>
      <c r="K39" s="205">
        <f t="shared" si="1"/>
        <v>-56437.184600000095</v>
      </c>
      <c r="L39" s="206">
        <f t="shared" si="2"/>
        <v>-9.9602155310385743E-2</v>
      </c>
    </row>
  </sheetData>
  <mergeCells count="7">
    <mergeCell ref="A23:B23"/>
    <mergeCell ref="A21:L21"/>
    <mergeCell ref="A15:L15"/>
    <mergeCell ref="K1:L1"/>
    <mergeCell ref="A1:J1"/>
    <mergeCell ref="B2:F2"/>
    <mergeCell ref="H12:K12"/>
  </mergeCells>
  <pageMargins left="0.7" right="0.7" top="0.25" bottom="0.25" header="0.3" footer="0.3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63" workbookViewId="0">
      <selection activeCell="J68" sqref="J68"/>
    </sheetView>
  </sheetViews>
  <sheetFormatPr defaultRowHeight="15" x14ac:dyDescent="0.25"/>
  <cols>
    <col min="1" max="1" width="14.140625" customWidth="1"/>
    <col min="2" max="2" width="32.28515625" customWidth="1"/>
    <col min="3" max="3" width="9.7109375" bestFit="1" customWidth="1"/>
    <col min="4" max="9" width="12.28515625" bestFit="1" customWidth="1"/>
    <col min="10" max="10" width="12" bestFit="1" customWidth="1"/>
    <col min="11" max="12" width="12.28515625" bestFit="1" customWidth="1"/>
  </cols>
  <sheetData>
    <row r="1" spans="1:12" ht="27" x14ac:dyDescent="0.35">
      <c r="A1" s="384" t="s">
        <v>316</v>
      </c>
      <c r="B1" s="384"/>
      <c r="C1" s="384"/>
      <c r="D1" s="384"/>
      <c r="E1" s="384"/>
      <c r="F1" s="384"/>
      <c r="G1" s="384"/>
      <c r="H1" s="384"/>
      <c r="I1" s="384"/>
      <c r="J1" s="384"/>
      <c r="K1" s="350" t="s">
        <v>224</v>
      </c>
      <c r="L1" s="350"/>
    </row>
    <row r="2" spans="1:12" ht="12" customHeight="1" x14ac:dyDescent="0.4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21" thickBot="1" x14ac:dyDescent="0.3">
      <c r="A3" s="403" t="s">
        <v>223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5"/>
    </row>
    <row r="4" spans="1:12" ht="15.75" x14ac:dyDescent="0.25">
      <c r="A4" s="153"/>
      <c r="B4" s="125"/>
      <c r="C4" s="256" t="s">
        <v>1</v>
      </c>
      <c r="D4" s="256" t="s">
        <v>1</v>
      </c>
      <c r="E4" s="256" t="s">
        <v>1</v>
      </c>
      <c r="F4" s="256" t="s">
        <v>1</v>
      </c>
      <c r="G4" s="256" t="s">
        <v>1</v>
      </c>
      <c r="H4" s="256" t="s">
        <v>1</v>
      </c>
      <c r="I4" s="154" t="s">
        <v>36</v>
      </c>
      <c r="J4" s="257" t="s">
        <v>4</v>
      </c>
      <c r="K4" s="155" t="s">
        <v>65</v>
      </c>
      <c r="L4" s="156" t="s">
        <v>66</v>
      </c>
    </row>
    <row r="5" spans="1:12" ht="18" customHeight="1" x14ac:dyDescent="0.25">
      <c r="A5" s="153" t="s">
        <v>7</v>
      </c>
      <c r="B5" s="125"/>
      <c r="C5" s="256">
        <v>2010</v>
      </c>
      <c r="D5" s="29">
        <v>2011</v>
      </c>
      <c r="E5" s="29">
        <v>2012</v>
      </c>
      <c r="F5" s="29">
        <v>2013</v>
      </c>
      <c r="G5" s="29">
        <v>2014</v>
      </c>
      <c r="H5" s="29">
        <v>2015</v>
      </c>
      <c r="I5" s="286">
        <v>2016</v>
      </c>
      <c r="J5" s="372">
        <v>2017</v>
      </c>
      <c r="K5" s="155" t="s">
        <v>65</v>
      </c>
      <c r="L5" s="156" t="s">
        <v>66</v>
      </c>
    </row>
    <row r="6" spans="1:12" x14ac:dyDescent="0.25">
      <c r="A6" s="157" t="s">
        <v>67</v>
      </c>
      <c r="B6" s="58" t="s">
        <v>68</v>
      </c>
      <c r="C6" s="96">
        <v>3687720.3</v>
      </c>
      <c r="D6" s="96">
        <v>3678231.69</v>
      </c>
      <c r="E6" s="109">
        <v>3548471.49</v>
      </c>
      <c r="F6" s="96">
        <v>3549471.94</v>
      </c>
      <c r="G6" s="96">
        <v>3826607.07</v>
      </c>
      <c r="H6" s="96">
        <v>3631673.53</v>
      </c>
      <c r="I6" s="165">
        <v>4360613</v>
      </c>
      <c r="J6" s="132">
        <v>4678046</v>
      </c>
      <c r="K6" s="158">
        <f>J6-I6</f>
        <v>317433</v>
      </c>
      <c r="L6" s="159">
        <f>IF(ISERROR((J6/I6)-1),0,(J6/I6)-1)</f>
        <v>7.2795499164910904E-2</v>
      </c>
    </row>
    <row r="7" spans="1:12" x14ac:dyDescent="0.25">
      <c r="A7" s="157" t="s">
        <v>69</v>
      </c>
      <c r="B7" s="58" t="s">
        <v>70</v>
      </c>
      <c r="C7" s="96">
        <v>214872.01</v>
      </c>
      <c r="D7" s="96">
        <v>169827.73</v>
      </c>
      <c r="E7" s="109">
        <v>304337.21999999997</v>
      </c>
      <c r="F7" s="96">
        <v>351103.8</v>
      </c>
      <c r="G7" s="96">
        <v>368409.11</v>
      </c>
      <c r="H7" s="96">
        <v>398769.93</v>
      </c>
      <c r="I7" s="165">
        <v>308358.65891030664</v>
      </c>
      <c r="J7" s="132">
        <v>308358.99999999994</v>
      </c>
      <c r="K7" s="158">
        <f t="shared" ref="K7:K80" si="0">J7-I7</f>
        <v>0.34108969330554828</v>
      </c>
      <c r="L7" s="159">
        <f>IF(ISERROR((J7/I7)-1),0,(J7/I7)-1)</f>
        <v>1.1061459876948732E-6</v>
      </c>
    </row>
    <row r="8" spans="1:12" x14ac:dyDescent="0.25">
      <c r="A8" s="157" t="s">
        <v>71</v>
      </c>
      <c r="B8" s="58" t="s">
        <v>72</v>
      </c>
      <c r="C8" s="96">
        <v>38118.199999999997</v>
      </c>
      <c r="D8" s="96">
        <v>44092.27</v>
      </c>
      <c r="E8" s="109">
        <v>42543.64</v>
      </c>
      <c r="F8" s="96">
        <v>46166.720000000001</v>
      </c>
      <c r="G8" s="96">
        <v>47773.36</v>
      </c>
      <c r="H8" s="96">
        <v>49811.11</v>
      </c>
      <c r="I8" s="165">
        <v>51109</v>
      </c>
      <c r="J8" s="132">
        <v>46153</v>
      </c>
      <c r="K8" s="158">
        <f t="shared" si="0"/>
        <v>-4956</v>
      </c>
      <c r="L8" s="159">
        <f t="shared" ref="L8:L17" si="1">IF(ISERROR((J8/I8)-1),0,(J8/I8)-1)</f>
        <v>-9.6969222641804742E-2</v>
      </c>
    </row>
    <row r="9" spans="1:12" x14ac:dyDescent="0.25">
      <c r="A9" s="157" t="s">
        <v>73</v>
      </c>
      <c r="B9" s="58" t="s">
        <v>74</v>
      </c>
      <c r="C9" s="96">
        <v>2660</v>
      </c>
      <c r="D9" s="96">
        <v>3143.9</v>
      </c>
      <c r="E9" s="109">
        <v>13681.31</v>
      </c>
      <c r="F9" s="96">
        <v>3667.8</v>
      </c>
      <c r="G9" s="96">
        <v>4365.3500000000004</v>
      </c>
      <c r="H9" s="96">
        <v>5294.35</v>
      </c>
      <c r="I9" s="165">
        <v>4365</v>
      </c>
      <c r="J9" s="132">
        <v>5300</v>
      </c>
      <c r="K9" s="158">
        <f t="shared" si="0"/>
        <v>935</v>
      </c>
      <c r="L9" s="159">
        <f t="shared" si="1"/>
        <v>0.21420389461626566</v>
      </c>
    </row>
    <row r="10" spans="1:12" x14ac:dyDescent="0.25">
      <c r="A10" s="157" t="s">
        <v>75</v>
      </c>
      <c r="B10" s="58" t="s">
        <v>76</v>
      </c>
      <c r="C10" s="96">
        <v>3604.91</v>
      </c>
      <c r="D10" s="96">
        <v>4925.4799999999996</v>
      </c>
      <c r="E10" s="109">
        <v>14801.85</v>
      </c>
      <c r="F10" s="96">
        <v>6353.14</v>
      </c>
      <c r="G10" s="96">
        <v>6610.18</v>
      </c>
      <c r="H10" s="96">
        <v>36894.04</v>
      </c>
      <c r="I10" s="165">
        <v>12720</v>
      </c>
      <c r="J10" s="132">
        <v>12720</v>
      </c>
      <c r="K10" s="158">
        <f t="shared" si="0"/>
        <v>0</v>
      </c>
      <c r="L10" s="159">
        <f t="shared" si="1"/>
        <v>0</v>
      </c>
    </row>
    <row r="11" spans="1:12" x14ac:dyDescent="0.25">
      <c r="A11" s="157" t="s">
        <v>77</v>
      </c>
      <c r="B11" s="58" t="s">
        <v>78</v>
      </c>
      <c r="C11" s="96">
        <v>5289.67</v>
      </c>
      <c r="D11" s="96">
        <v>4047.85</v>
      </c>
      <c r="E11" s="109">
        <v>7715.56</v>
      </c>
      <c r="F11" s="96">
        <v>10039.799999999999</v>
      </c>
      <c r="G11" s="96">
        <v>651.5</v>
      </c>
      <c r="H11" s="96">
        <v>1273.17</v>
      </c>
      <c r="I11" s="165">
        <v>3000</v>
      </c>
      <c r="J11" s="132">
        <v>3000</v>
      </c>
      <c r="K11" s="158">
        <f t="shared" si="0"/>
        <v>0</v>
      </c>
      <c r="L11" s="159">
        <f t="shared" si="1"/>
        <v>0</v>
      </c>
    </row>
    <row r="12" spans="1:12" x14ac:dyDescent="0.25">
      <c r="A12" s="157" t="s">
        <v>79</v>
      </c>
      <c r="B12" s="58" t="s">
        <v>80</v>
      </c>
      <c r="C12" s="96">
        <v>10599.24</v>
      </c>
      <c r="D12" s="96">
        <v>8937.89</v>
      </c>
      <c r="E12" s="109">
        <v>2973.5</v>
      </c>
      <c r="F12" s="96">
        <v>2593.5</v>
      </c>
      <c r="G12" s="96">
        <v>3068</v>
      </c>
      <c r="H12" s="96">
        <v>75513.039999999994</v>
      </c>
      <c r="I12" s="165">
        <v>57375</v>
      </c>
      <c r="J12" s="375">
        <v>22212.7007724</v>
      </c>
      <c r="K12" s="158">
        <f t="shared" si="0"/>
        <v>-35162.2992276</v>
      </c>
      <c r="L12" s="159">
        <f t="shared" si="1"/>
        <v>-0.61285053119999999</v>
      </c>
    </row>
    <row r="13" spans="1:12" x14ac:dyDescent="0.25">
      <c r="A13" s="157" t="s">
        <v>81</v>
      </c>
      <c r="B13" s="58" t="s">
        <v>82</v>
      </c>
      <c r="C13" s="96">
        <v>25942.21</v>
      </c>
      <c r="D13" s="96">
        <v>18050.439999999999</v>
      </c>
      <c r="E13" s="109">
        <v>20739.990000000002</v>
      </c>
      <c r="F13" s="96">
        <v>31075.21</v>
      </c>
      <c r="G13" s="96">
        <v>22825.15</v>
      </c>
      <c r="H13" s="96">
        <v>62365.1</v>
      </c>
      <c r="I13" s="165">
        <v>45505</v>
      </c>
      <c r="J13" s="132">
        <v>21000</v>
      </c>
      <c r="K13" s="158">
        <f t="shared" si="0"/>
        <v>-24505</v>
      </c>
      <c r="L13" s="159">
        <f>IF(ISERROR((J13/I13)-1),0,(J13/I13)-1)</f>
        <v>-0.53851225140094494</v>
      </c>
    </row>
    <row r="14" spans="1:12" x14ac:dyDescent="0.25">
      <c r="A14" s="157" t="s">
        <v>83</v>
      </c>
      <c r="B14" s="58" t="s">
        <v>84</v>
      </c>
      <c r="C14" s="96">
        <v>47463.46</v>
      </c>
      <c r="D14" s="96">
        <v>45703</v>
      </c>
      <c r="E14" s="109">
        <v>48943.19</v>
      </c>
      <c r="F14" s="96">
        <v>47066.21</v>
      </c>
      <c r="G14" s="96">
        <v>56857.2</v>
      </c>
      <c r="H14" s="96">
        <v>57022.92</v>
      </c>
      <c r="I14" s="165">
        <v>68914</v>
      </c>
      <c r="J14" s="132">
        <v>60000</v>
      </c>
      <c r="K14" s="158">
        <f t="shared" si="0"/>
        <v>-8914</v>
      </c>
      <c r="L14" s="159">
        <f t="shared" si="1"/>
        <v>-0.12934962416925444</v>
      </c>
    </row>
    <row r="15" spans="1:12" x14ac:dyDescent="0.25">
      <c r="A15" s="157" t="s">
        <v>85</v>
      </c>
      <c r="B15" s="58" t="s">
        <v>86</v>
      </c>
      <c r="C15" s="96">
        <v>47872.04</v>
      </c>
      <c r="D15" s="96">
        <v>72699.95</v>
      </c>
      <c r="E15" s="109">
        <v>58653.47</v>
      </c>
      <c r="F15" s="96">
        <v>59726.38</v>
      </c>
      <c r="G15" s="96">
        <v>63214.61</v>
      </c>
      <c r="H15" s="96">
        <v>71864.84</v>
      </c>
      <c r="I15" s="165">
        <v>81469.358182861019</v>
      </c>
      <c r="J15" s="132">
        <v>85645.51964146948</v>
      </c>
      <c r="K15" s="158">
        <f t="shared" si="0"/>
        <v>4176.1614586084615</v>
      </c>
      <c r="L15" s="159">
        <f t="shared" si="1"/>
        <v>5.1260517472531353E-2</v>
      </c>
    </row>
    <row r="16" spans="1:12" x14ac:dyDescent="0.25">
      <c r="A16" s="157" t="s">
        <v>87</v>
      </c>
      <c r="B16" s="58" t="s">
        <v>88</v>
      </c>
      <c r="C16" s="96">
        <v>302146.82</v>
      </c>
      <c r="D16" s="96">
        <v>296203.59000000003</v>
      </c>
      <c r="E16" s="109">
        <v>297243.92</v>
      </c>
      <c r="F16" s="96">
        <v>299596.07</v>
      </c>
      <c r="G16" s="96">
        <v>321177.46999999997</v>
      </c>
      <c r="H16" s="96">
        <v>320070.17</v>
      </c>
      <c r="I16" s="165">
        <v>367608.62490663846</v>
      </c>
      <c r="J16" s="375">
        <v>394494.26510908862</v>
      </c>
      <c r="K16" s="158">
        <f t="shared" si="0"/>
        <v>26885.640202450159</v>
      </c>
      <c r="L16" s="159">
        <f t="shared" si="1"/>
        <v>7.3136587068049153E-2</v>
      </c>
    </row>
    <row r="17" spans="1:12" x14ac:dyDescent="0.25">
      <c r="A17" s="157" t="s">
        <v>89</v>
      </c>
      <c r="B17" s="58" t="s">
        <v>90</v>
      </c>
      <c r="C17" s="96">
        <v>213050.87</v>
      </c>
      <c r="D17" s="96">
        <v>247951.55</v>
      </c>
      <c r="E17" s="109">
        <v>286682.09000000003</v>
      </c>
      <c r="F17" s="96">
        <v>331384.73</v>
      </c>
      <c r="G17" s="96">
        <v>397790.54</v>
      </c>
      <c r="H17" s="96">
        <v>431849.91</v>
      </c>
      <c r="I17" s="165">
        <v>537184.9868661724</v>
      </c>
      <c r="J17" s="375">
        <v>576529.20034635405</v>
      </c>
      <c r="K17" s="158">
        <f t="shared" si="0"/>
        <v>39344.213480181643</v>
      </c>
      <c r="L17" s="159">
        <f t="shared" si="1"/>
        <v>7.3241461399931707E-2</v>
      </c>
    </row>
    <row r="18" spans="1:12" x14ac:dyDescent="0.25">
      <c r="A18" s="157" t="s">
        <v>91</v>
      </c>
      <c r="B18" s="58" t="s">
        <v>92</v>
      </c>
      <c r="C18" s="96"/>
      <c r="D18" s="96"/>
      <c r="E18" s="109"/>
      <c r="F18" s="96"/>
      <c r="G18" s="96"/>
      <c r="H18" s="96"/>
      <c r="I18" s="165"/>
      <c r="J18" s="132"/>
      <c r="K18" s="158"/>
      <c r="L18" s="159"/>
    </row>
    <row r="19" spans="1:12" x14ac:dyDescent="0.25">
      <c r="A19" s="157" t="s">
        <v>93</v>
      </c>
      <c r="B19" s="58" t="s">
        <v>94</v>
      </c>
      <c r="C19" s="96"/>
      <c r="D19" s="96"/>
      <c r="E19" s="109"/>
      <c r="F19" s="96"/>
      <c r="G19" s="96"/>
      <c r="H19" s="96"/>
      <c r="I19" s="165"/>
      <c r="J19" s="132"/>
      <c r="K19" s="158"/>
      <c r="L19" s="159"/>
    </row>
    <row r="20" spans="1:12" x14ac:dyDescent="0.25">
      <c r="A20" s="157" t="s">
        <v>95</v>
      </c>
      <c r="B20" s="58" t="s">
        <v>96</v>
      </c>
      <c r="C20" s="96"/>
      <c r="D20" s="96"/>
      <c r="E20" s="109"/>
      <c r="F20" s="96"/>
      <c r="G20" s="96"/>
      <c r="H20" s="96"/>
      <c r="I20" s="165"/>
      <c r="J20" s="132"/>
      <c r="K20" s="158"/>
      <c r="L20" s="159"/>
    </row>
    <row r="21" spans="1:12" x14ac:dyDescent="0.25">
      <c r="A21" s="157" t="s">
        <v>97</v>
      </c>
      <c r="B21" s="58" t="s">
        <v>98</v>
      </c>
      <c r="C21" s="96"/>
      <c r="D21" s="96"/>
      <c r="E21" s="109"/>
      <c r="F21" s="96"/>
      <c r="G21" s="96"/>
      <c r="H21" s="96"/>
      <c r="I21" s="165"/>
      <c r="J21" s="132"/>
      <c r="K21" s="158"/>
      <c r="L21" s="159"/>
    </row>
    <row r="22" spans="1:12" x14ac:dyDescent="0.25">
      <c r="A22" s="157" t="s">
        <v>99</v>
      </c>
      <c r="B22" s="58" t="s">
        <v>100</v>
      </c>
      <c r="C22" s="96">
        <v>30949.05</v>
      </c>
      <c r="D22" s="96">
        <v>27650.7</v>
      </c>
      <c r="E22" s="109">
        <v>16826</v>
      </c>
      <c r="F22" s="96">
        <v>32006.11</v>
      </c>
      <c r="G22" s="96">
        <v>21799.9</v>
      </c>
      <c r="H22" s="96">
        <v>14911.14</v>
      </c>
      <c r="I22" s="165">
        <v>29680</v>
      </c>
      <c r="J22" s="132">
        <v>20000</v>
      </c>
      <c r="K22" s="158">
        <f>J22-I22</f>
        <v>-9680</v>
      </c>
      <c r="L22" s="159">
        <f>IF(ISERROR((J22/I22)-1),0,(J22/I22)-1)</f>
        <v>-0.32614555256064692</v>
      </c>
    </row>
    <row r="23" spans="1:12" x14ac:dyDescent="0.25">
      <c r="A23" s="157">
        <v>5229</v>
      </c>
      <c r="B23" s="58" t="s">
        <v>101</v>
      </c>
      <c r="C23" s="96">
        <v>626070.79</v>
      </c>
      <c r="D23" s="96">
        <v>748051.47</v>
      </c>
      <c r="E23" s="109">
        <v>688235.17</v>
      </c>
      <c r="F23" s="96">
        <v>759514</v>
      </c>
      <c r="G23" s="96">
        <v>756000</v>
      </c>
      <c r="H23" s="96">
        <v>756000</v>
      </c>
      <c r="I23" s="165">
        <v>831600</v>
      </c>
      <c r="J23" s="132">
        <v>877800</v>
      </c>
      <c r="K23" s="158">
        <f t="shared" si="0"/>
        <v>46200</v>
      </c>
      <c r="L23" s="159">
        <f>IF(ISERROR((J23/I23)-1),0,(J23/I23)-1)</f>
        <v>5.555555555555558E-2</v>
      </c>
    </row>
    <row r="24" spans="1:12" x14ac:dyDescent="0.25">
      <c r="A24" s="157">
        <v>5299</v>
      </c>
      <c r="B24" s="58" t="s">
        <v>102</v>
      </c>
      <c r="C24" s="96"/>
      <c r="D24" s="160"/>
      <c r="E24" s="109"/>
      <c r="F24" s="99"/>
      <c r="G24" s="99"/>
      <c r="H24" s="99"/>
      <c r="I24" s="165">
        <v>-177837.07886597936</v>
      </c>
      <c r="J24" s="132">
        <v>-280505.68586411903</v>
      </c>
      <c r="K24" s="158">
        <f t="shared" si="0"/>
        <v>-102668.60699813967</v>
      </c>
      <c r="L24" s="159">
        <f>IF(ISERROR((J24/I24)-1),0,(J24/I24)-1)</f>
        <v>0.57731833908221275</v>
      </c>
    </row>
    <row r="25" spans="1:12" x14ac:dyDescent="0.25">
      <c r="A25" s="161" t="s">
        <v>103</v>
      </c>
      <c r="B25" s="162"/>
      <c r="C25" s="163">
        <f>SUM(C6:C23)</f>
        <v>5256359.57</v>
      </c>
      <c r="D25" s="163">
        <f>SUM(D6:D23)</f>
        <v>5369517.5099999998</v>
      </c>
      <c r="E25" s="163">
        <f>SUM(E6:E23)</f>
        <v>5351848.4000000004</v>
      </c>
      <c r="F25" s="163">
        <f t="shared" ref="F25:H25" si="2">SUM(F6:F23)</f>
        <v>5529765.4099999992</v>
      </c>
      <c r="G25" s="163">
        <f t="shared" si="2"/>
        <v>5897149.4400000004</v>
      </c>
      <c r="H25" s="163">
        <f t="shared" si="2"/>
        <v>5913313.2499999991</v>
      </c>
      <c r="I25" s="167">
        <v>6581665.5499999989</v>
      </c>
      <c r="J25" s="170">
        <f>SUM(J6:J24)</f>
        <v>6830754.0000051931</v>
      </c>
      <c r="K25" s="163">
        <f>J25-I25</f>
        <v>249088.45000519417</v>
      </c>
      <c r="L25" s="164">
        <f>IF(ISERROR((J25/I25)-1),0,(J25/I25)-1)</f>
        <v>3.7845807890556582E-2</v>
      </c>
    </row>
    <row r="26" spans="1:12" x14ac:dyDescent="0.25">
      <c r="A26" s="157" t="s">
        <v>104</v>
      </c>
      <c r="B26" s="58" t="s">
        <v>105</v>
      </c>
      <c r="C26" s="96">
        <v>31320.83</v>
      </c>
      <c r="D26" s="96">
        <v>29765.14</v>
      </c>
      <c r="E26" s="109">
        <v>35064</v>
      </c>
      <c r="F26" s="96">
        <v>34371.68</v>
      </c>
      <c r="G26" s="96">
        <v>35280.01</v>
      </c>
      <c r="H26" s="96">
        <v>32052.09</v>
      </c>
      <c r="I26" s="165">
        <v>37624</v>
      </c>
      <c r="J26" s="132">
        <v>37946.809880000001</v>
      </c>
      <c r="K26" s="158">
        <f t="shared" si="0"/>
        <v>322.8098800000007</v>
      </c>
      <c r="L26" s="159">
        <f t="shared" ref="L26:L92" si="3">IF(ISERROR((J26/I26)-1),0,(J26/I26)-1)</f>
        <v>8.5798926217308669E-3</v>
      </c>
    </row>
    <row r="27" spans="1:12" x14ac:dyDescent="0.25">
      <c r="A27" s="157" t="s">
        <v>106</v>
      </c>
      <c r="B27" s="58" t="s">
        <v>107</v>
      </c>
      <c r="C27" s="96">
        <v>10105.48</v>
      </c>
      <c r="D27" s="96">
        <v>6855.63</v>
      </c>
      <c r="E27" s="109">
        <v>11792.07</v>
      </c>
      <c r="F27" s="96">
        <v>7143.98</v>
      </c>
      <c r="G27" s="96">
        <v>7398.36</v>
      </c>
      <c r="H27" s="96">
        <v>7849.54</v>
      </c>
      <c r="I27" s="165">
        <v>9924</v>
      </c>
      <c r="J27" s="132">
        <v>8200.9981200000002</v>
      </c>
      <c r="K27" s="158">
        <f t="shared" si="0"/>
        <v>-1723.0018799999998</v>
      </c>
      <c r="L27" s="159">
        <f t="shared" si="3"/>
        <v>-0.17361969770253927</v>
      </c>
    </row>
    <row r="28" spans="1:12" x14ac:dyDescent="0.25">
      <c r="A28" s="157" t="s">
        <v>108</v>
      </c>
      <c r="B28" s="58" t="s">
        <v>109</v>
      </c>
      <c r="C28" s="96">
        <v>18166.54</v>
      </c>
      <c r="D28" s="96">
        <v>11288.66</v>
      </c>
      <c r="E28" s="109">
        <v>5241.8599999999997</v>
      </c>
      <c r="F28" s="96">
        <v>7707.12</v>
      </c>
      <c r="G28" s="96">
        <v>5745.38</v>
      </c>
      <c r="H28" s="96">
        <v>24467.02</v>
      </c>
      <c r="I28" s="165">
        <v>10354</v>
      </c>
      <c r="J28" s="132">
        <v>23447</v>
      </c>
      <c r="K28" s="158">
        <f t="shared" si="0"/>
        <v>13093</v>
      </c>
      <c r="L28" s="159">
        <f t="shared" si="3"/>
        <v>1.2645354452385553</v>
      </c>
    </row>
    <row r="29" spans="1:12" x14ac:dyDescent="0.25">
      <c r="A29" s="157" t="s">
        <v>110</v>
      </c>
      <c r="B29" s="58" t="s">
        <v>111</v>
      </c>
      <c r="C29" s="96">
        <v>7003.03</v>
      </c>
      <c r="D29" s="96">
        <v>16175.59</v>
      </c>
      <c r="E29" s="109">
        <v>9611.91</v>
      </c>
      <c r="F29" s="96">
        <v>28661.3</v>
      </c>
      <c r="G29" s="96">
        <v>16384.16</v>
      </c>
      <c r="H29" s="96">
        <v>19595.740000000002</v>
      </c>
      <c r="I29" s="165">
        <v>16385.400000000001</v>
      </c>
      <c r="J29" s="132">
        <v>16702.7889</v>
      </c>
      <c r="K29" s="158">
        <f t="shared" si="0"/>
        <v>317.3888999999981</v>
      </c>
      <c r="L29" s="159">
        <f t="shared" si="3"/>
        <v>1.9370225932842544E-2</v>
      </c>
    </row>
    <row r="30" spans="1:12" x14ac:dyDescent="0.25">
      <c r="A30" s="157" t="s">
        <v>112</v>
      </c>
      <c r="B30" s="58" t="s">
        <v>113</v>
      </c>
      <c r="C30" s="96">
        <v>55061.46</v>
      </c>
      <c r="D30" s="96">
        <v>57111.71</v>
      </c>
      <c r="E30" s="109">
        <v>6387.77</v>
      </c>
      <c r="F30" s="96">
        <v>12025.68</v>
      </c>
      <c r="G30" s="96">
        <v>5107.8100000000004</v>
      </c>
      <c r="H30" s="96">
        <v>17851.07</v>
      </c>
      <c r="I30" s="165">
        <v>8800</v>
      </c>
      <c r="J30" s="132">
        <v>12381.227300000002</v>
      </c>
      <c r="K30" s="158">
        <f t="shared" si="0"/>
        <v>3581.2273000000023</v>
      </c>
      <c r="L30" s="159">
        <f t="shared" si="3"/>
        <v>0.40695764772727294</v>
      </c>
    </row>
    <row r="31" spans="1:12" x14ac:dyDescent="0.25">
      <c r="A31" s="157" t="s">
        <v>114</v>
      </c>
      <c r="B31" s="58" t="s">
        <v>115</v>
      </c>
      <c r="C31" s="96">
        <v>163.37</v>
      </c>
      <c r="D31" s="96">
        <v>0</v>
      </c>
      <c r="E31" s="109">
        <v>87.44</v>
      </c>
      <c r="F31" s="96">
        <v>0</v>
      </c>
      <c r="G31" s="96">
        <v>38.270000000000003</v>
      </c>
      <c r="H31" s="96">
        <v>1607.72</v>
      </c>
      <c r="I31" s="165">
        <v>1087</v>
      </c>
      <c r="J31" s="132">
        <v>2000</v>
      </c>
      <c r="K31" s="158">
        <f t="shared" si="0"/>
        <v>913</v>
      </c>
      <c r="L31" s="159">
        <f t="shared" si="3"/>
        <v>0.83992640294388221</v>
      </c>
    </row>
    <row r="32" spans="1:12" x14ac:dyDescent="0.25">
      <c r="A32" s="161" t="s">
        <v>116</v>
      </c>
      <c r="B32" s="162"/>
      <c r="C32" s="163">
        <f t="shared" ref="C32:F32" si="4">SUM(C26:C31)</f>
        <v>121820.70999999999</v>
      </c>
      <c r="D32" s="163">
        <f t="shared" si="4"/>
        <v>121196.72999999998</v>
      </c>
      <c r="E32" s="166">
        <f t="shared" si="4"/>
        <v>68185.05</v>
      </c>
      <c r="F32" s="163">
        <f t="shared" si="4"/>
        <v>89909.760000000009</v>
      </c>
      <c r="G32" s="163">
        <f>SUM(G26:G31)</f>
        <v>69953.990000000005</v>
      </c>
      <c r="H32" s="163">
        <f>SUM(H26:H31)</f>
        <v>103423.18</v>
      </c>
      <c r="I32" s="167">
        <f>SUM(I26:I31)</f>
        <v>84174.399999999994</v>
      </c>
      <c r="J32" s="168">
        <f>SUM(J26:J31)</f>
        <v>100678.8242</v>
      </c>
      <c r="K32" s="169">
        <f t="shared" si="0"/>
        <v>16504.424200000009</v>
      </c>
      <c r="L32" s="164">
        <f t="shared" si="3"/>
        <v>0.19607415318671717</v>
      </c>
    </row>
    <row r="33" spans="1:12" x14ac:dyDescent="0.25">
      <c r="A33" s="157" t="s">
        <v>117</v>
      </c>
      <c r="B33" s="58" t="s">
        <v>118</v>
      </c>
      <c r="C33" s="96">
        <v>42521.38</v>
      </c>
      <c r="D33" s="96">
        <v>6301.75</v>
      </c>
      <c r="E33" s="109">
        <v>0</v>
      </c>
      <c r="F33" s="109">
        <v>265.89</v>
      </c>
      <c r="G33" s="96">
        <v>0</v>
      </c>
      <c r="H33" s="96">
        <v>1144.07</v>
      </c>
      <c r="I33" s="165">
        <v>0</v>
      </c>
      <c r="J33" s="132">
        <v>0</v>
      </c>
      <c r="K33" s="158">
        <f t="shared" si="0"/>
        <v>0</v>
      </c>
      <c r="L33" s="159">
        <f>IF(ISERROR((J33/I33)-1),0,(J33/I33)-1)</f>
        <v>0</v>
      </c>
    </row>
    <row r="34" spans="1:12" x14ac:dyDescent="0.25">
      <c r="A34" s="157" t="s">
        <v>119</v>
      </c>
      <c r="B34" s="58" t="s">
        <v>120</v>
      </c>
      <c r="C34" s="96"/>
      <c r="D34" s="96"/>
      <c r="E34" s="109"/>
      <c r="F34" s="109">
        <v>4030</v>
      </c>
      <c r="G34" s="96">
        <v>3255</v>
      </c>
      <c r="H34" s="96">
        <v>6091</v>
      </c>
      <c r="I34" s="165">
        <v>5000</v>
      </c>
      <c r="J34" s="132">
        <v>5801.4319999999998</v>
      </c>
      <c r="K34" s="158">
        <f t="shared" si="0"/>
        <v>801.43199999999979</v>
      </c>
      <c r="L34" s="159">
        <f t="shared" si="3"/>
        <v>0.16028639999999994</v>
      </c>
    </row>
    <row r="35" spans="1:12" x14ac:dyDescent="0.25">
      <c r="A35" s="157" t="s">
        <v>121</v>
      </c>
      <c r="B35" s="58" t="s">
        <v>122</v>
      </c>
      <c r="C35" s="96">
        <v>3818.75</v>
      </c>
      <c r="D35" s="96">
        <v>16714.41</v>
      </c>
      <c r="E35" s="109">
        <v>7848.51</v>
      </c>
      <c r="F35" s="109">
        <v>5500</v>
      </c>
      <c r="G35" s="96">
        <v>11928</v>
      </c>
      <c r="H35" s="96">
        <v>17362.5</v>
      </c>
      <c r="I35" s="165">
        <v>33500</v>
      </c>
      <c r="J35" s="132">
        <v>26871</v>
      </c>
      <c r="K35" s="158">
        <f t="shared" si="0"/>
        <v>-6629</v>
      </c>
      <c r="L35" s="159">
        <f>IF(ISERROR((J35/I35)-1),0,(J35/I35)-1)</f>
        <v>-0.19788059701492533</v>
      </c>
    </row>
    <row r="36" spans="1:12" x14ac:dyDescent="0.25">
      <c r="A36" s="157" t="s">
        <v>123</v>
      </c>
      <c r="B36" s="58" t="s">
        <v>124</v>
      </c>
      <c r="C36" s="96"/>
      <c r="D36" s="96"/>
      <c r="E36" s="109"/>
      <c r="F36" s="109">
        <v>559</v>
      </c>
      <c r="G36" s="96">
        <v>6274</v>
      </c>
      <c r="H36" s="96"/>
      <c r="I36" s="165">
        <v>2460</v>
      </c>
      <c r="J36" s="132">
        <v>50000</v>
      </c>
      <c r="K36" s="158">
        <f t="shared" si="0"/>
        <v>47540</v>
      </c>
      <c r="L36" s="159">
        <f t="shared" si="3"/>
        <v>19.325203252032519</v>
      </c>
    </row>
    <row r="37" spans="1:12" x14ac:dyDescent="0.25">
      <c r="A37" s="157" t="s">
        <v>125</v>
      </c>
      <c r="B37" s="58" t="s">
        <v>126</v>
      </c>
      <c r="C37" s="96">
        <v>38880.67</v>
      </c>
      <c r="D37" s="96">
        <v>54014.93</v>
      </c>
      <c r="E37" s="109">
        <v>68594.58</v>
      </c>
      <c r="F37" s="109">
        <v>78525.240000000005</v>
      </c>
      <c r="G37" s="96">
        <v>67859.17</v>
      </c>
      <c r="H37" s="96">
        <v>29544.83</v>
      </c>
      <c r="I37" s="165">
        <v>21448.647199999999</v>
      </c>
      <c r="J37" s="132">
        <v>40259.260520000003</v>
      </c>
      <c r="K37" s="158">
        <f t="shared" si="0"/>
        <v>18810.613320000004</v>
      </c>
      <c r="L37" s="159">
        <f t="shared" si="3"/>
        <v>0.87700698065470561</v>
      </c>
    </row>
    <row r="38" spans="1:12" x14ac:dyDescent="0.25">
      <c r="A38" s="157" t="s">
        <v>127</v>
      </c>
      <c r="B38" s="58" t="s">
        <v>128</v>
      </c>
      <c r="C38" s="96">
        <v>38120.266000000003</v>
      </c>
      <c r="D38" s="96">
        <v>36026.92</v>
      </c>
      <c r="E38" s="109">
        <v>34787.86</v>
      </c>
      <c r="F38" s="109">
        <v>30055.9</v>
      </c>
      <c r="G38" s="96">
        <v>30088.37</v>
      </c>
      <c r="H38" s="96">
        <v>29026.309999999998</v>
      </c>
      <c r="I38" s="165">
        <v>34175.566800000001</v>
      </c>
      <c r="J38" s="132">
        <v>30139.656040000002</v>
      </c>
      <c r="K38" s="158">
        <f t="shared" si="0"/>
        <v>-4035.9107599999988</v>
      </c>
      <c r="L38" s="159">
        <f t="shared" si="3"/>
        <v>-0.11809345500013768</v>
      </c>
    </row>
    <row r="39" spans="1:12" x14ac:dyDescent="0.25">
      <c r="A39" s="157" t="s">
        <v>129</v>
      </c>
      <c r="B39" s="58" t="s">
        <v>130</v>
      </c>
      <c r="C39" s="96">
        <v>9492.75</v>
      </c>
      <c r="D39" s="96">
        <v>7634.76</v>
      </c>
      <c r="E39" s="109">
        <v>21223.58</v>
      </c>
      <c r="F39" s="109">
        <v>8067.22</v>
      </c>
      <c r="G39" s="96">
        <v>10185.48</v>
      </c>
      <c r="H39" s="96">
        <v>9636.51</v>
      </c>
      <c r="I39" s="165">
        <v>14211.460800000001</v>
      </c>
      <c r="J39" s="132">
        <v>9771.4211400000004</v>
      </c>
      <c r="K39" s="158">
        <f t="shared" si="0"/>
        <v>-4440.0396600000004</v>
      </c>
      <c r="L39" s="159">
        <f t="shared" si="3"/>
        <v>-0.31242669015418878</v>
      </c>
    </row>
    <row r="40" spans="1:12" x14ac:dyDescent="0.25">
      <c r="A40" s="157" t="s">
        <v>131</v>
      </c>
      <c r="B40" s="58" t="s">
        <v>132</v>
      </c>
      <c r="C40" s="96">
        <v>2068.59</v>
      </c>
      <c r="D40" s="96">
        <v>1578.24</v>
      </c>
      <c r="E40" s="109">
        <v>2138.3200000000002</v>
      </c>
      <c r="F40" s="109">
        <v>2007.14</v>
      </c>
      <c r="G40" s="96">
        <v>2513.14</v>
      </c>
      <c r="H40" s="96">
        <v>2258.37</v>
      </c>
      <c r="I40" s="165">
        <v>2397.096</v>
      </c>
      <c r="J40" s="132">
        <v>2291.1837</v>
      </c>
      <c r="K40" s="158">
        <f t="shared" si="0"/>
        <v>-105.91229999999996</v>
      </c>
      <c r="L40" s="159">
        <f t="shared" si="3"/>
        <v>-4.4183587140439906E-2</v>
      </c>
    </row>
    <row r="41" spans="1:12" x14ac:dyDescent="0.25">
      <c r="A41" s="157" t="s">
        <v>133</v>
      </c>
      <c r="B41" s="58" t="s">
        <v>134</v>
      </c>
      <c r="C41" s="96">
        <v>4085.56</v>
      </c>
      <c r="D41" s="96">
        <v>4044.33</v>
      </c>
      <c r="E41" s="109">
        <v>3303.91</v>
      </c>
      <c r="F41" s="109">
        <v>2633.6</v>
      </c>
      <c r="G41" s="96">
        <v>4321.41</v>
      </c>
      <c r="H41" s="96">
        <v>4858.3200000000006</v>
      </c>
      <c r="I41" s="165">
        <v>4543</v>
      </c>
      <c r="J41" s="132">
        <v>4708</v>
      </c>
      <c r="K41" s="158">
        <f t="shared" si="0"/>
        <v>165</v>
      </c>
      <c r="L41" s="159">
        <f t="shared" si="3"/>
        <v>3.6319612590798966E-2</v>
      </c>
    </row>
    <row r="42" spans="1:12" x14ac:dyDescent="0.25">
      <c r="A42" s="157" t="s">
        <v>135</v>
      </c>
      <c r="B42" s="58" t="s">
        <v>136</v>
      </c>
      <c r="C42" s="96">
        <v>22068.9</v>
      </c>
      <c r="D42" s="96">
        <v>23317.53</v>
      </c>
      <c r="E42" s="109">
        <v>18409.25</v>
      </c>
      <c r="F42" s="109">
        <v>13145</v>
      </c>
      <c r="G42" s="96">
        <v>37275.42</v>
      </c>
      <c r="H42" s="96">
        <v>22877.3</v>
      </c>
      <c r="I42" s="165">
        <v>26590.5</v>
      </c>
      <c r="J42" s="132">
        <v>26654.5</v>
      </c>
      <c r="K42" s="158">
        <f t="shared" si="0"/>
        <v>64</v>
      </c>
      <c r="L42" s="159">
        <f t="shared" si="3"/>
        <v>2.4068746356782356E-3</v>
      </c>
    </row>
    <row r="43" spans="1:12" x14ac:dyDescent="0.25">
      <c r="A43" s="157" t="s">
        <v>137</v>
      </c>
      <c r="B43" s="58" t="s">
        <v>138</v>
      </c>
      <c r="C43" s="96">
        <v>7644.52</v>
      </c>
      <c r="D43" s="96">
        <v>5573.76</v>
      </c>
      <c r="E43" s="109">
        <v>6758.83</v>
      </c>
      <c r="F43" s="109">
        <v>4631.5</v>
      </c>
      <c r="G43" s="96">
        <v>10035.16</v>
      </c>
      <c r="H43" s="96">
        <v>8301.9599999999991</v>
      </c>
      <c r="I43" s="165">
        <v>8809</v>
      </c>
      <c r="J43" s="132">
        <v>8809</v>
      </c>
      <c r="K43" s="158">
        <f t="shared" si="0"/>
        <v>0</v>
      </c>
      <c r="L43" s="159">
        <f t="shared" si="3"/>
        <v>0</v>
      </c>
    </row>
    <row r="44" spans="1:12" x14ac:dyDescent="0.25">
      <c r="A44" s="157" t="s">
        <v>139</v>
      </c>
      <c r="B44" s="58" t="s">
        <v>140</v>
      </c>
      <c r="C44" s="96"/>
      <c r="D44" s="96"/>
      <c r="E44" s="109"/>
      <c r="F44" s="109">
        <v>94.92</v>
      </c>
      <c r="G44" s="96">
        <v>0</v>
      </c>
      <c r="H44" s="96">
        <v>682.49</v>
      </c>
      <c r="I44" s="165">
        <v>105.53760000000001</v>
      </c>
      <c r="J44" s="132">
        <v>329.7697</v>
      </c>
      <c r="K44" s="158">
        <f t="shared" si="0"/>
        <v>224.2321</v>
      </c>
      <c r="L44" s="159">
        <f t="shared" si="3"/>
        <v>2.1246655220509085</v>
      </c>
    </row>
    <row r="45" spans="1:12" x14ac:dyDescent="0.25">
      <c r="A45" s="157" t="s">
        <v>141</v>
      </c>
      <c r="B45" s="58" t="s">
        <v>142</v>
      </c>
      <c r="C45" s="96">
        <v>320.43</v>
      </c>
      <c r="D45" s="96">
        <v>641.04999999999995</v>
      </c>
      <c r="E45" s="109">
        <v>840.59</v>
      </c>
      <c r="F45" s="109">
        <v>0</v>
      </c>
      <c r="G45" s="96">
        <v>198.24</v>
      </c>
      <c r="H45" s="96">
        <v>1184.97</v>
      </c>
      <c r="I45" s="165">
        <v>500</v>
      </c>
      <c r="J45" s="132">
        <v>1171.75305</v>
      </c>
      <c r="K45" s="158">
        <f t="shared" si="0"/>
        <v>671.75305000000003</v>
      </c>
      <c r="L45" s="159">
        <f t="shared" si="3"/>
        <v>1.3435060999999999</v>
      </c>
    </row>
    <row r="46" spans="1:12" x14ac:dyDescent="0.25">
      <c r="A46" s="157" t="s">
        <v>143</v>
      </c>
      <c r="B46" s="58" t="s">
        <v>144</v>
      </c>
      <c r="C46" s="96">
        <v>1470</v>
      </c>
      <c r="D46" s="96">
        <v>1464</v>
      </c>
      <c r="E46" s="109">
        <v>125</v>
      </c>
      <c r="F46" s="109">
        <v>680.63</v>
      </c>
      <c r="G46" s="96">
        <v>2655</v>
      </c>
      <c r="H46" s="96">
        <v>1986.17</v>
      </c>
      <c r="I46" s="165">
        <v>2000</v>
      </c>
      <c r="J46" s="132">
        <v>3500</v>
      </c>
      <c r="K46" s="158">
        <f t="shared" si="0"/>
        <v>1500</v>
      </c>
      <c r="L46" s="159">
        <f t="shared" si="3"/>
        <v>0.75</v>
      </c>
    </row>
    <row r="47" spans="1:12" x14ac:dyDescent="0.25">
      <c r="A47" s="157" t="s">
        <v>145</v>
      </c>
      <c r="B47" s="58" t="s">
        <v>146</v>
      </c>
      <c r="C47" s="96">
        <v>124154.16</v>
      </c>
      <c r="D47" s="96">
        <v>141189.76000000001</v>
      </c>
      <c r="E47" s="109">
        <v>110900.12</v>
      </c>
      <c r="F47" s="109">
        <v>121218.97</v>
      </c>
      <c r="G47" s="96">
        <v>118693.08</v>
      </c>
      <c r="H47" s="96">
        <v>114433.96999999999</v>
      </c>
      <c r="I47" s="165">
        <v>196430.37</v>
      </c>
      <c r="J47" s="132">
        <v>190773.39249999999</v>
      </c>
      <c r="K47" s="158">
        <f t="shared" si="0"/>
        <v>-5656.9775000000081</v>
      </c>
      <c r="L47" s="159">
        <f t="shared" si="3"/>
        <v>-2.8798894488668014E-2</v>
      </c>
    </row>
    <row r="48" spans="1:12" x14ac:dyDescent="0.25">
      <c r="A48" s="157" t="s">
        <v>147</v>
      </c>
      <c r="B48" s="58" t="s">
        <v>148</v>
      </c>
      <c r="C48" s="96"/>
      <c r="D48" s="96"/>
      <c r="E48" s="109"/>
      <c r="F48" s="109"/>
      <c r="G48" s="96"/>
      <c r="H48" s="96"/>
      <c r="I48" s="165"/>
      <c r="J48" s="132">
        <v>49000</v>
      </c>
      <c r="K48" s="158">
        <f>J48-I48</f>
        <v>49000</v>
      </c>
      <c r="L48" s="159">
        <f>IF(ISERROR((J48/I48)-1),0,(J48/I48)-1)</f>
        <v>0</v>
      </c>
    </row>
    <row r="49" spans="1:12" x14ac:dyDescent="0.25">
      <c r="A49" s="157" t="s">
        <v>149</v>
      </c>
      <c r="B49" s="58" t="s">
        <v>150</v>
      </c>
      <c r="C49" s="96">
        <v>2129.84</v>
      </c>
      <c r="D49" s="96">
        <v>1474.58</v>
      </c>
      <c r="E49" s="109">
        <v>1843.72</v>
      </c>
      <c r="F49" s="109">
        <v>1957.56</v>
      </c>
      <c r="G49" s="96">
        <v>2170.64</v>
      </c>
      <c r="H49" s="96">
        <v>1979.35</v>
      </c>
      <c r="I49" s="165">
        <v>2149.8912</v>
      </c>
      <c r="J49" s="132">
        <v>2104.04493</v>
      </c>
      <c r="K49" s="158">
        <f t="shared" si="0"/>
        <v>-45.846270000000004</v>
      </c>
      <c r="L49" s="159">
        <f t="shared" si="3"/>
        <v>-2.1324925652051574E-2</v>
      </c>
    </row>
    <row r="50" spans="1:12" ht="27" x14ac:dyDescent="0.35">
      <c r="A50" s="384" t="s">
        <v>317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50" t="s">
        <v>224</v>
      </c>
      <c r="L50" s="350"/>
    </row>
    <row r="51" spans="1:12" ht="15" customHeight="1" x14ac:dyDescent="0.4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</row>
    <row r="52" spans="1:12" ht="29.25" customHeight="1" thickBot="1" x14ac:dyDescent="0.3">
      <c r="A52" s="400" t="s">
        <v>223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2"/>
    </row>
    <row r="53" spans="1:12" ht="15.75" x14ac:dyDescent="0.25">
      <c r="A53" s="153"/>
      <c r="B53" s="125"/>
      <c r="C53" s="256" t="s">
        <v>1</v>
      </c>
      <c r="D53" s="256" t="s">
        <v>1</v>
      </c>
      <c r="E53" s="256" t="s">
        <v>1</v>
      </c>
      <c r="F53" s="256" t="s">
        <v>1</v>
      </c>
      <c r="G53" s="256" t="s">
        <v>1</v>
      </c>
      <c r="H53" s="256" t="s">
        <v>1</v>
      </c>
      <c r="I53" s="154" t="s">
        <v>36</v>
      </c>
      <c r="J53" s="257" t="s">
        <v>4</v>
      </c>
      <c r="K53" s="155" t="s">
        <v>65</v>
      </c>
      <c r="L53" s="156" t="s">
        <v>66</v>
      </c>
    </row>
    <row r="54" spans="1:12" ht="15.75" x14ac:dyDescent="0.25">
      <c r="A54" s="153" t="s">
        <v>7</v>
      </c>
      <c r="B54" s="125"/>
      <c r="C54" s="256">
        <v>2010</v>
      </c>
      <c r="D54" s="29">
        <v>2011</v>
      </c>
      <c r="E54" s="29">
        <v>2012</v>
      </c>
      <c r="F54" s="29">
        <v>2013</v>
      </c>
      <c r="G54" s="29">
        <v>2014</v>
      </c>
      <c r="H54" s="29">
        <v>2015</v>
      </c>
      <c r="I54" s="286">
        <v>2016</v>
      </c>
      <c r="J54" s="372">
        <v>2017</v>
      </c>
      <c r="K54" s="155" t="s">
        <v>65</v>
      </c>
      <c r="L54" s="156" t="s">
        <v>66</v>
      </c>
    </row>
    <row r="55" spans="1:12" ht="18" customHeight="1" x14ac:dyDescent="0.25">
      <c r="A55" s="157" t="s">
        <v>151</v>
      </c>
      <c r="B55" s="58" t="s">
        <v>152</v>
      </c>
      <c r="C55" s="96">
        <v>2535.4</v>
      </c>
      <c r="D55" s="96">
        <v>2722.9</v>
      </c>
      <c r="E55" s="109">
        <v>3039.2</v>
      </c>
      <c r="F55" s="109">
        <v>3243.56</v>
      </c>
      <c r="G55" s="96">
        <v>3331.99</v>
      </c>
      <c r="H55" s="96">
        <v>3539.97</v>
      </c>
      <c r="I55" s="165">
        <v>3461.31</v>
      </c>
      <c r="J55" s="132">
        <v>3484.0837199999996</v>
      </c>
      <c r="K55" s="158">
        <f t="shared" si="0"/>
        <v>22.773719999999685</v>
      </c>
      <c r="L55" s="159">
        <f t="shared" si="3"/>
        <v>6.5795089142548502E-3</v>
      </c>
    </row>
    <row r="56" spans="1:12" x14ac:dyDescent="0.25">
      <c r="A56" s="157" t="s">
        <v>153</v>
      </c>
      <c r="B56" s="58" t="s">
        <v>154</v>
      </c>
      <c r="C56" s="96">
        <v>100077.73</v>
      </c>
      <c r="D56" s="96">
        <v>119591.8</v>
      </c>
      <c r="E56" s="109">
        <v>105187.69</v>
      </c>
      <c r="F56" s="109">
        <v>104558.73</v>
      </c>
      <c r="G56" s="96">
        <v>112108.23</v>
      </c>
      <c r="H56" s="96">
        <v>112385.25</v>
      </c>
      <c r="I56" s="165">
        <v>121076.8884</v>
      </c>
      <c r="J56" s="132">
        <v>113818.19435999999</v>
      </c>
      <c r="K56" s="158">
        <f t="shared" si="0"/>
        <v>-7258.6940400000021</v>
      </c>
      <c r="L56" s="159">
        <f t="shared" si="3"/>
        <v>-5.9951111528564915E-2</v>
      </c>
    </row>
    <row r="57" spans="1:12" x14ac:dyDescent="0.25">
      <c r="A57" s="157" t="s">
        <v>155</v>
      </c>
      <c r="B57" s="58" t="s">
        <v>156</v>
      </c>
      <c r="C57" s="96">
        <v>2558.6999999999998</v>
      </c>
      <c r="D57" s="96">
        <v>2824.48</v>
      </c>
      <c r="E57" s="109">
        <v>2926.22</v>
      </c>
      <c r="F57" s="109">
        <v>12956.73</v>
      </c>
      <c r="G57" s="96">
        <v>3110.35</v>
      </c>
      <c r="H57" s="96">
        <v>3181.94</v>
      </c>
      <c r="I57" s="165">
        <v>3216</v>
      </c>
      <c r="J57" s="132">
        <v>3190.19103</v>
      </c>
      <c r="K57" s="158">
        <f t="shared" si="0"/>
        <v>-25.808970000000045</v>
      </c>
      <c r="L57" s="159">
        <f t="shared" si="3"/>
        <v>-8.025177238806025E-3</v>
      </c>
    </row>
    <row r="58" spans="1:12" x14ac:dyDescent="0.25">
      <c r="A58" s="157" t="s">
        <v>157</v>
      </c>
      <c r="B58" s="58" t="s">
        <v>158</v>
      </c>
      <c r="C58" s="96">
        <v>0</v>
      </c>
      <c r="D58" s="96">
        <v>0</v>
      </c>
      <c r="E58" s="109">
        <v>0</v>
      </c>
      <c r="F58" s="109">
        <v>0</v>
      </c>
      <c r="G58" s="96">
        <v>2599.42</v>
      </c>
      <c r="H58" s="96">
        <v>528.94000000000005</v>
      </c>
      <c r="I58" s="165">
        <v>935.7912</v>
      </c>
      <c r="J58" s="132">
        <v>536.34516000000008</v>
      </c>
      <c r="K58" s="158">
        <f t="shared" si="0"/>
        <v>-399.44603999999993</v>
      </c>
      <c r="L58" s="159">
        <f t="shared" si="3"/>
        <v>-0.4268538109783464</v>
      </c>
    </row>
    <row r="59" spans="1:12" x14ac:dyDescent="0.25">
      <c r="A59" s="157" t="s">
        <v>159</v>
      </c>
      <c r="B59" s="58" t="s">
        <v>160</v>
      </c>
      <c r="C59" s="96">
        <v>74501.86</v>
      </c>
      <c r="D59" s="96">
        <v>77203.09</v>
      </c>
      <c r="E59" s="109">
        <v>96248.23</v>
      </c>
      <c r="F59" s="109">
        <v>139851.9</v>
      </c>
      <c r="G59" s="96">
        <v>86689.97</v>
      </c>
      <c r="H59" s="96">
        <v>86547.14</v>
      </c>
      <c r="I59" s="165">
        <v>90670.2454</v>
      </c>
      <c r="J59" s="132">
        <v>83566.7019</v>
      </c>
      <c r="K59" s="158">
        <f t="shared" si="0"/>
        <v>-7103.5434999999998</v>
      </c>
      <c r="L59" s="159">
        <f t="shared" si="3"/>
        <v>-7.8344813876504604E-2</v>
      </c>
    </row>
    <row r="60" spans="1:12" x14ac:dyDescent="0.25">
      <c r="A60" s="157" t="s">
        <v>161</v>
      </c>
      <c r="B60" s="58" t="s">
        <v>162</v>
      </c>
      <c r="C60" s="96">
        <v>1500</v>
      </c>
      <c r="D60" s="96">
        <v>23893.09</v>
      </c>
      <c r="E60" s="109">
        <v>2887.49</v>
      </c>
      <c r="F60" s="109">
        <v>0</v>
      </c>
      <c r="G60" s="96">
        <v>2218.5700000000002</v>
      </c>
      <c r="H60" s="96">
        <v>35473.49</v>
      </c>
      <c r="I60" s="165">
        <v>0</v>
      </c>
      <c r="J60" s="132">
        <v>0</v>
      </c>
      <c r="K60" s="158">
        <f t="shared" si="0"/>
        <v>0</v>
      </c>
      <c r="L60" s="159">
        <f t="shared" si="3"/>
        <v>0</v>
      </c>
    </row>
    <row r="61" spans="1:12" x14ac:dyDescent="0.25">
      <c r="A61" s="157" t="s">
        <v>163</v>
      </c>
      <c r="B61" s="58" t="s">
        <v>164</v>
      </c>
      <c r="C61" s="96">
        <v>18793.64</v>
      </c>
      <c r="D61" s="96">
        <v>33434.51</v>
      </c>
      <c r="E61" s="109">
        <v>39253.629999999997</v>
      </c>
      <c r="F61" s="109">
        <v>26390.04</v>
      </c>
      <c r="G61" s="96">
        <v>46153.17</v>
      </c>
      <c r="H61" s="96">
        <v>42248.85</v>
      </c>
      <c r="I61" s="165">
        <v>70646.709999999992</v>
      </c>
      <c r="J61" s="132">
        <v>71635.763940000004</v>
      </c>
      <c r="K61" s="158">
        <f t="shared" si="0"/>
        <v>989.05394000001252</v>
      </c>
      <c r="L61" s="159">
        <f t="shared" si="3"/>
        <v>1.4000000000000234E-2</v>
      </c>
    </row>
    <row r="62" spans="1:12" x14ac:dyDescent="0.25">
      <c r="A62" s="157" t="s">
        <v>165</v>
      </c>
      <c r="B62" s="58" t="s">
        <v>166</v>
      </c>
      <c r="C62" s="96">
        <v>270523.7</v>
      </c>
      <c r="D62" s="96">
        <v>245488.13</v>
      </c>
      <c r="E62" s="109">
        <v>249140.16</v>
      </c>
      <c r="F62" s="109">
        <v>249189.02</v>
      </c>
      <c r="G62" s="96">
        <v>286108.19</v>
      </c>
      <c r="H62" s="96">
        <v>261771.19</v>
      </c>
      <c r="I62" s="165">
        <v>328923.24040000001</v>
      </c>
      <c r="J62" s="132">
        <v>368481.55924000003</v>
      </c>
      <c r="K62" s="158">
        <f t="shared" si="0"/>
        <v>39558.318840000022</v>
      </c>
      <c r="L62" s="159">
        <f t="shared" si="3"/>
        <v>0.12026611069468229</v>
      </c>
    </row>
    <row r="63" spans="1:12" x14ac:dyDescent="0.25">
      <c r="A63" s="157" t="s">
        <v>167</v>
      </c>
      <c r="B63" s="58" t="s">
        <v>168</v>
      </c>
      <c r="C63" s="96">
        <v>6124.82</v>
      </c>
      <c r="D63" s="96">
        <v>8511.14</v>
      </c>
      <c r="E63" s="109">
        <v>8545.9</v>
      </c>
      <c r="F63" s="109">
        <v>6591.04</v>
      </c>
      <c r="G63" s="96">
        <v>6452.26</v>
      </c>
      <c r="H63" s="96">
        <v>4807.7700000000004</v>
      </c>
      <c r="I63" s="165">
        <v>7772.1119999999983</v>
      </c>
      <c r="J63" s="132">
        <v>6035.3516600000003</v>
      </c>
      <c r="K63" s="158">
        <f t="shared" si="0"/>
        <v>-1736.760339999998</v>
      </c>
      <c r="L63" s="159">
        <f t="shared" si="3"/>
        <v>-0.22346053942609145</v>
      </c>
    </row>
    <row r="64" spans="1:12" x14ac:dyDescent="0.25">
      <c r="A64" s="157" t="s">
        <v>169</v>
      </c>
      <c r="B64" s="58" t="s">
        <v>170</v>
      </c>
      <c r="C64" s="96"/>
      <c r="D64" s="96"/>
      <c r="E64" s="109"/>
      <c r="F64" s="109"/>
      <c r="G64" s="96"/>
      <c r="H64" s="96"/>
      <c r="I64" s="165"/>
      <c r="J64" s="132">
        <v>0</v>
      </c>
      <c r="K64" s="158"/>
      <c r="L64" s="159"/>
    </row>
    <row r="65" spans="1:12" x14ac:dyDescent="0.25">
      <c r="A65" s="157" t="s">
        <v>171</v>
      </c>
      <c r="B65" s="58" t="s">
        <v>172</v>
      </c>
      <c r="C65" s="96">
        <v>692.21</v>
      </c>
      <c r="D65" s="96">
        <v>0</v>
      </c>
      <c r="E65" s="109">
        <v>0</v>
      </c>
      <c r="F65" s="109">
        <v>2297.7600000000002</v>
      </c>
      <c r="G65" s="96">
        <v>0</v>
      </c>
      <c r="H65" s="96"/>
      <c r="I65" s="165">
        <v>0</v>
      </c>
      <c r="J65" s="132">
        <v>0</v>
      </c>
      <c r="K65" s="158">
        <f t="shared" si="0"/>
        <v>0</v>
      </c>
      <c r="L65" s="159">
        <f t="shared" si="3"/>
        <v>0</v>
      </c>
    </row>
    <row r="66" spans="1:12" x14ac:dyDescent="0.25">
      <c r="A66" s="157" t="s">
        <v>173</v>
      </c>
      <c r="B66" s="58" t="s">
        <v>174</v>
      </c>
      <c r="C66" s="96">
        <v>8074.5</v>
      </c>
      <c r="D66" s="96">
        <v>11353.88</v>
      </c>
      <c r="E66" s="109">
        <v>7917.71</v>
      </c>
      <c r="F66" s="109">
        <v>7399.76</v>
      </c>
      <c r="G66" s="96">
        <v>13880.65</v>
      </c>
      <c r="H66" s="96">
        <v>13419.74</v>
      </c>
      <c r="I66" s="165">
        <v>12553</v>
      </c>
      <c r="J66" s="132">
        <v>12878</v>
      </c>
      <c r="K66" s="158">
        <f t="shared" si="0"/>
        <v>325</v>
      </c>
      <c r="L66" s="159">
        <f t="shared" si="3"/>
        <v>2.5890225444116899E-2</v>
      </c>
    </row>
    <row r="67" spans="1:12" x14ac:dyDescent="0.25">
      <c r="A67" s="157" t="s">
        <v>175</v>
      </c>
      <c r="B67" s="58" t="s">
        <v>176</v>
      </c>
      <c r="C67" s="96">
        <v>6796.56</v>
      </c>
      <c r="D67" s="96">
        <v>4922.09</v>
      </c>
      <c r="E67" s="109">
        <v>3985.38</v>
      </c>
      <c r="F67" s="109">
        <v>6006.99</v>
      </c>
      <c r="G67" s="96">
        <v>5040.99</v>
      </c>
      <c r="H67" s="96">
        <v>8965.5400000000009</v>
      </c>
      <c r="I67" s="165">
        <v>7447</v>
      </c>
      <c r="J67" s="132">
        <v>58499</v>
      </c>
      <c r="K67" s="158">
        <f t="shared" si="0"/>
        <v>51052</v>
      </c>
      <c r="L67" s="159">
        <f t="shared" si="3"/>
        <v>6.8553780045655968</v>
      </c>
    </row>
    <row r="68" spans="1:12" x14ac:dyDescent="0.25">
      <c r="A68" s="161" t="s">
        <v>177</v>
      </c>
      <c r="B68" s="162"/>
      <c r="C68" s="163">
        <f>SUM(C33:C67)</f>
        <v>790964.93599999999</v>
      </c>
      <c r="D68" s="163">
        <f>SUM(D33:D67)</f>
        <v>831932.13</v>
      </c>
      <c r="E68" s="166">
        <f>SUM(E33:E67)</f>
        <v>797917.87999999989</v>
      </c>
      <c r="F68" s="166">
        <f>SUM(F33:F67)</f>
        <v>833871.10000000009</v>
      </c>
      <c r="G68" s="163">
        <f>SUM(G33:G67)</f>
        <v>877159.9</v>
      </c>
      <c r="H68" s="163">
        <f>SUM(H33:H67)</f>
        <v>826252.94</v>
      </c>
      <c r="I68" s="167">
        <f>SUM(I33:I67)</f>
        <v>1003039.3669999999</v>
      </c>
      <c r="J68" s="170">
        <f>SUM(J55:J67)+SUM(J33:J49)</f>
        <v>1174309.6045900001</v>
      </c>
      <c r="K68" s="169">
        <f t="shared" si="0"/>
        <v>171270.23759000027</v>
      </c>
      <c r="L68" s="164">
        <f t="shared" si="3"/>
        <v>0.1707512618395568</v>
      </c>
    </row>
    <row r="69" spans="1:12" x14ac:dyDescent="0.25">
      <c r="A69" s="157" t="s">
        <v>178</v>
      </c>
      <c r="B69" s="58" t="s">
        <v>179</v>
      </c>
      <c r="C69" s="96">
        <v>0</v>
      </c>
      <c r="D69" s="96">
        <v>0</v>
      </c>
      <c r="E69" s="109">
        <v>0</v>
      </c>
      <c r="F69" s="96">
        <v>0</v>
      </c>
      <c r="G69" s="96">
        <v>0</v>
      </c>
      <c r="H69" s="96">
        <v>0</v>
      </c>
      <c r="I69" s="165">
        <v>0</v>
      </c>
      <c r="J69" s="171">
        <v>0</v>
      </c>
      <c r="K69" s="158">
        <f t="shared" si="0"/>
        <v>0</v>
      </c>
      <c r="L69" s="159">
        <f t="shared" si="3"/>
        <v>0</v>
      </c>
    </row>
    <row r="70" spans="1:12" x14ac:dyDescent="0.25">
      <c r="A70" s="157" t="s">
        <v>180</v>
      </c>
      <c r="B70" s="58" t="s">
        <v>181</v>
      </c>
      <c r="C70" s="96">
        <v>0</v>
      </c>
      <c r="D70" s="96">
        <v>0</v>
      </c>
      <c r="E70" s="109">
        <v>0</v>
      </c>
      <c r="F70" s="96">
        <v>0</v>
      </c>
      <c r="G70" s="96">
        <v>0</v>
      </c>
      <c r="H70" s="96">
        <v>0</v>
      </c>
      <c r="I70" s="165">
        <v>0</v>
      </c>
      <c r="J70" s="171">
        <v>0</v>
      </c>
      <c r="K70" s="158">
        <f t="shared" si="0"/>
        <v>0</v>
      </c>
      <c r="L70" s="159">
        <f t="shared" si="3"/>
        <v>0</v>
      </c>
    </row>
    <row r="71" spans="1:12" x14ac:dyDescent="0.25">
      <c r="A71" s="157" t="s">
        <v>182</v>
      </c>
      <c r="B71" s="58" t="s">
        <v>183</v>
      </c>
      <c r="C71" s="96">
        <v>0</v>
      </c>
      <c r="D71" s="96">
        <v>7423.32</v>
      </c>
      <c r="E71" s="109">
        <v>0</v>
      </c>
      <c r="F71" s="96">
        <v>0</v>
      </c>
      <c r="G71" s="96">
        <v>0</v>
      </c>
      <c r="H71" s="96">
        <v>0</v>
      </c>
      <c r="I71" s="165">
        <v>0</v>
      </c>
      <c r="J71" s="171">
        <v>0</v>
      </c>
      <c r="K71" s="158">
        <f t="shared" si="0"/>
        <v>0</v>
      </c>
      <c r="L71" s="159">
        <f t="shared" si="3"/>
        <v>0</v>
      </c>
    </row>
    <row r="72" spans="1:12" x14ac:dyDescent="0.25">
      <c r="A72" s="157" t="s">
        <v>184</v>
      </c>
      <c r="B72" s="58" t="s">
        <v>185</v>
      </c>
      <c r="C72" s="96">
        <v>0</v>
      </c>
      <c r="D72" s="96">
        <v>0</v>
      </c>
      <c r="E72" s="109">
        <v>0</v>
      </c>
      <c r="F72" s="96">
        <v>0</v>
      </c>
      <c r="G72" s="96">
        <v>0</v>
      </c>
      <c r="H72" s="96">
        <v>0</v>
      </c>
      <c r="I72" s="165">
        <v>0</v>
      </c>
      <c r="J72" s="171">
        <v>0</v>
      </c>
      <c r="K72" s="158">
        <f t="shared" si="0"/>
        <v>0</v>
      </c>
      <c r="L72" s="159">
        <f t="shared" si="3"/>
        <v>0</v>
      </c>
    </row>
    <row r="73" spans="1:12" x14ac:dyDescent="0.25">
      <c r="A73" s="161" t="s">
        <v>186</v>
      </c>
      <c r="B73" s="162"/>
      <c r="C73" s="163">
        <f t="shared" ref="C73:I73" si="5">SUM(C69:C72)</f>
        <v>0</v>
      </c>
      <c r="D73" s="163">
        <f t="shared" si="5"/>
        <v>7423.32</v>
      </c>
      <c r="E73" s="166">
        <f t="shared" si="5"/>
        <v>0</v>
      </c>
      <c r="F73" s="163">
        <f t="shared" si="5"/>
        <v>0</v>
      </c>
      <c r="G73" s="163">
        <f t="shared" si="5"/>
        <v>0</v>
      </c>
      <c r="H73" s="163">
        <f t="shared" si="5"/>
        <v>0</v>
      </c>
      <c r="I73" s="163">
        <f t="shared" si="5"/>
        <v>0</v>
      </c>
      <c r="J73" s="373">
        <v>0</v>
      </c>
      <c r="K73" s="169">
        <f t="shared" si="0"/>
        <v>0</v>
      </c>
      <c r="L73" s="164">
        <f t="shared" si="3"/>
        <v>0</v>
      </c>
    </row>
    <row r="74" spans="1:12" x14ac:dyDescent="0.25">
      <c r="A74" s="172" t="s">
        <v>187</v>
      </c>
      <c r="B74" s="58" t="s">
        <v>188</v>
      </c>
      <c r="C74" s="96">
        <v>25136</v>
      </c>
      <c r="D74" s="96">
        <v>29436</v>
      </c>
      <c r="E74" s="109">
        <v>19536</v>
      </c>
      <c r="F74" s="96">
        <v>20219.509999999998</v>
      </c>
      <c r="G74" s="96">
        <v>19845.900000000001</v>
      </c>
      <c r="H74" s="96">
        <v>19035</v>
      </c>
      <c r="I74" s="165">
        <v>10704.51</v>
      </c>
      <c r="J74" s="132">
        <v>19035</v>
      </c>
      <c r="K74" s="158">
        <f t="shared" si="0"/>
        <v>8330.49</v>
      </c>
      <c r="L74" s="159">
        <f t="shared" si="3"/>
        <v>0.77822245016352909</v>
      </c>
    </row>
    <row r="75" spans="1:12" x14ac:dyDescent="0.25">
      <c r="A75" s="157" t="s">
        <v>189</v>
      </c>
      <c r="B75" s="58" t="s">
        <v>190</v>
      </c>
      <c r="C75" s="96">
        <v>17829.71</v>
      </c>
      <c r="D75" s="96">
        <v>0</v>
      </c>
      <c r="E75" s="109">
        <v>0</v>
      </c>
      <c r="F75" s="96">
        <v>-8431.99</v>
      </c>
      <c r="G75" s="58"/>
      <c r="H75" s="58"/>
      <c r="I75" s="165">
        <v>0</v>
      </c>
      <c r="J75" s="132">
        <v>0</v>
      </c>
      <c r="K75" s="158">
        <f t="shared" si="0"/>
        <v>0</v>
      </c>
      <c r="L75" s="159">
        <f t="shared" si="3"/>
        <v>0</v>
      </c>
    </row>
    <row r="76" spans="1:12" x14ac:dyDescent="0.25">
      <c r="A76" s="157" t="s">
        <v>191</v>
      </c>
      <c r="B76" s="58" t="s">
        <v>192</v>
      </c>
      <c r="C76" s="96">
        <v>0</v>
      </c>
      <c r="D76" s="96">
        <v>0</v>
      </c>
      <c r="E76" s="109">
        <v>0</v>
      </c>
      <c r="F76" s="96">
        <v>0</v>
      </c>
      <c r="G76" s="58"/>
      <c r="H76" s="58"/>
      <c r="I76" s="165">
        <v>0</v>
      </c>
      <c r="J76" s="132">
        <v>0</v>
      </c>
      <c r="K76" s="158">
        <f t="shared" si="0"/>
        <v>0</v>
      </c>
      <c r="L76" s="159">
        <f t="shared" si="3"/>
        <v>0</v>
      </c>
    </row>
    <row r="77" spans="1:12" x14ac:dyDescent="0.25">
      <c r="A77" s="157" t="s">
        <v>193</v>
      </c>
      <c r="B77" s="58" t="s">
        <v>124</v>
      </c>
      <c r="C77" s="96">
        <v>16544</v>
      </c>
      <c r="D77" s="96">
        <v>16997</v>
      </c>
      <c r="E77" s="109">
        <v>11016</v>
      </c>
      <c r="F77" s="96">
        <v>0</v>
      </c>
      <c r="G77" s="58"/>
      <c r="H77" s="58"/>
      <c r="I77" s="165">
        <v>0</v>
      </c>
      <c r="J77" s="132">
        <v>0</v>
      </c>
      <c r="K77" s="158">
        <f t="shared" si="0"/>
        <v>0</v>
      </c>
      <c r="L77" s="159">
        <f t="shared" si="3"/>
        <v>0</v>
      </c>
    </row>
    <row r="78" spans="1:12" x14ac:dyDescent="0.25">
      <c r="A78" s="157" t="s">
        <v>194</v>
      </c>
      <c r="B78" s="58" t="s">
        <v>195</v>
      </c>
      <c r="C78" s="96"/>
      <c r="D78" s="96"/>
      <c r="E78" s="109"/>
      <c r="F78" s="96"/>
      <c r="G78" s="58"/>
      <c r="H78" s="58"/>
      <c r="I78" s="165">
        <v>3129.672</v>
      </c>
      <c r="J78" s="132">
        <v>3129.67</v>
      </c>
      <c r="K78" s="158">
        <f t="shared" si="0"/>
        <v>-1.9999999999527063E-3</v>
      </c>
      <c r="L78" s="159">
        <f t="shared" si="3"/>
        <v>-6.390446027904062E-7</v>
      </c>
    </row>
    <row r="79" spans="1:12" x14ac:dyDescent="0.25">
      <c r="A79" s="157" t="s">
        <v>196</v>
      </c>
      <c r="B79" s="58" t="s">
        <v>197</v>
      </c>
      <c r="C79" s="96">
        <v>118617.82</v>
      </c>
      <c r="D79" s="96">
        <v>69011.09</v>
      </c>
      <c r="E79" s="109">
        <v>63891.96</v>
      </c>
      <c r="F79" s="96">
        <v>55917.25</v>
      </c>
      <c r="G79" s="96">
        <v>58018.59</v>
      </c>
      <c r="H79" s="96">
        <v>108227.32</v>
      </c>
      <c r="I79" s="165">
        <v>48794</v>
      </c>
      <c r="J79" s="132">
        <v>108227</v>
      </c>
      <c r="K79" s="158">
        <f t="shared" si="0"/>
        <v>59433</v>
      </c>
      <c r="L79" s="159">
        <f t="shared" si="3"/>
        <v>1.2180391031684223</v>
      </c>
    </row>
    <row r="80" spans="1:12" x14ac:dyDescent="0.25">
      <c r="A80" s="157" t="s">
        <v>198</v>
      </c>
      <c r="B80" s="58" t="s">
        <v>199</v>
      </c>
      <c r="C80" s="96">
        <v>0</v>
      </c>
      <c r="D80" s="96">
        <v>0</v>
      </c>
      <c r="E80" s="109">
        <v>0</v>
      </c>
      <c r="F80" s="96">
        <v>0</v>
      </c>
      <c r="G80" s="96"/>
      <c r="H80" s="96"/>
      <c r="I80" s="165">
        <v>0</v>
      </c>
      <c r="J80" s="132"/>
      <c r="K80" s="158">
        <f t="shared" si="0"/>
        <v>0</v>
      </c>
      <c r="L80" s="159">
        <f t="shared" si="3"/>
        <v>0</v>
      </c>
    </row>
    <row r="81" spans="1:12" x14ac:dyDescent="0.25">
      <c r="A81" s="157" t="s">
        <v>200</v>
      </c>
      <c r="B81" s="58" t="s">
        <v>201</v>
      </c>
      <c r="C81" s="96">
        <v>1282.74</v>
      </c>
      <c r="D81" s="96">
        <v>1380.71</v>
      </c>
      <c r="E81" s="109">
        <v>964.2</v>
      </c>
      <c r="F81" s="96">
        <v>931.35</v>
      </c>
      <c r="G81" s="96">
        <v>472.07</v>
      </c>
      <c r="H81" s="96">
        <v>89.98</v>
      </c>
      <c r="I81" s="165">
        <v>417</v>
      </c>
      <c r="J81" s="132">
        <v>417</v>
      </c>
      <c r="K81" s="158">
        <f t="shared" ref="K81:K92" si="6">J81-I81</f>
        <v>0</v>
      </c>
      <c r="L81" s="159">
        <f t="shared" si="3"/>
        <v>0</v>
      </c>
    </row>
    <row r="82" spans="1:12" x14ac:dyDescent="0.25">
      <c r="A82" s="157" t="s">
        <v>202</v>
      </c>
      <c r="B82" s="58" t="s">
        <v>203</v>
      </c>
      <c r="C82" s="96"/>
      <c r="D82" s="96"/>
      <c r="E82" s="109"/>
      <c r="F82" s="96"/>
      <c r="G82" s="96"/>
      <c r="H82" s="96">
        <v>681.96</v>
      </c>
      <c r="I82" s="165">
        <v>2022</v>
      </c>
      <c r="J82" s="132">
        <v>2022</v>
      </c>
      <c r="K82" s="158">
        <f t="shared" si="6"/>
        <v>0</v>
      </c>
      <c r="L82" s="159">
        <f t="shared" si="3"/>
        <v>0</v>
      </c>
    </row>
    <row r="83" spans="1:12" x14ac:dyDescent="0.25">
      <c r="A83" s="157" t="s">
        <v>204</v>
      </c>
      <c r="B83" s="58" t="s">
        <v>205</v>
      </c>
      <c r="C83" s="96">
        <v>96.8</v>
      </c>
      <c r="D83" s="96">
        <v>0</v>
      </c>
      <c r="E83" s="109">
        <v>2447.96</v>
      </c>
      <c r="F83" s="96">
        <v>1473.44</v>
      </c>
      <c r="G83" s="96">
        <v>35.450000000000003</v>
      </c>
      <c r="H83" s="96">
        <v>424.29</v>
      </c>
      <c r="I83" s="165">
        <v>0</v>
      </c>
      <c r="J83" s="132">
        <v>0</v>
      </c>
      <c r="K83" s="158">
        <f t="shared" si="6"/>
        <v>0</v>
      </c>
      <c r="L83" s="159">
        <f t="shared" si="3"/>
        <v>0</v>
      </c>
    </row>
    <row r="84" spans="1:12" x14ac:dyDescent="0.25">
      <c r="A84" s="157" t="s">
        <v>206</v>
      </c>
      <c r="B84" s="58" t="s">
        <v>207</v>
      </c>
      <c r="C84" s="96">
        <v>2400</v>
      </c>
      <c r="D84" s="96">
        <v>2400</v>
      </c>
      <c r="E84" s="109">
        <v>4560</v>
      </c>
      <c r="F84" s="96">
        <v>5520</v>
      </c>
      <c r="G84" s="96">
        <v>6720</v>
      </c>
      <c r="H84" s="96">
        <v>7320</v>
      </c>
      <c r="I84" s="165">
        <v>5880</v>
      </c>
      <c r="J84" s="132">
        <v>0</v>
      </c>
      <c r="K84" s="158">
        <f t="shared" si="6"/>
        <v>-5880</v>
      </c>
      <c r="L84" s="159">
        <f t="shared" si="3"/>
        <v>-1</v>
      </c>
    </row>
    <row r="85" spans="1:12" x14ac:dyDescent="0.25">
      <c r="A85" s="157" t="s">
        <v>208</v>
      </c>
      <c r="B85" s="58" t="s">
        <v>209</v>
      </c>
      <c r="C85" s="96">
        <v>25664</v>
      </c>
      <c r="D85" s="96">
        <v>28285</v>
      </c>
      <c r="E85" s="109">
        <v>29407</v>
      </c>
      <c r="F85" s="96">
        <v>29383</v>
      </c>
      <c r="G85" s="96">
        <v>29383</v>
      </c>
      <c r="H85" s="96">
        <v>21176</v>
      </c>
      <c r="I85" s="165">
        <v>21567</v>
      </c>
      <c r="J85" s="132">
        <v>0</v>
      </c>
      <c r="K85" s="158">
        <f t="shared" si="6"/>
        <v>-21567</v>
      </c>
      <c r="L85" s="159">
        <f t="shared" si="3"/>
        <v>-1</v>
      </c>
    </row>
    <row r="86" spans="1:12" x14ac:dyDescent="0.25">
      <c r="A86" s="157" t="s">
        <v>210</v>
      </c>
      <c r="B86" s="58" t="s">
        <v>211</v>
      </c>
      <c r="C86" s="96">
        <v>665</v>
      </c>
      <c r="D86" s="96">
        <v>0</v>
      </c>
      <c r="E86" s="109">
        <v>3033.09</v>
      </c>
      <c r="F86" s="96">
        <v>687.56</v>
      </c>
      <c r="G86" s="96">
        <v>432.04</v>
      </c>
      <c r="H86" s="96">
        <v>2271.04</v>
      </c>
      <c r="I86" s="165">
        <v>0</v>
      </c>
      <c r="J86" s="132">
        <v>0</v>
      </c>
      <c r="K86" s="158">
        <f t="shared" si="6"/>
        <v>0</v>
      </c>
      <c r="L86" s="159">
        <f t="shared" si="3"/>
        <v>0</v>
      </c>
    </row>
    <row r="87" spans="1:12" x14ac:dyDescent="0.25">
      <c r="A87" s="157"/>
      <c r="B87" s="58" t="s">
        <v>212</v>
      </c>
      <c r="C87" s="96">
        <v>0</v>
      </c>
      <c r="D87" s="96">
        <v>0</v>
      </c>
      <c r="E87" s="109">
        <v>0</v>
      </c>
      <c r="F87" s="96">
        <v>320</v>
      </c>
      <c r="G87" s="96">
        <v>0</v>
      </c>
      <c r="H87" s="96"/>
      <c r="I87" s="165">
        <v>0</v>
      </c>
      <c r="J87" s="132"/>
      <c r="K87" s="158">
        <f t="shared" si="6"/>
        <v>0</v>
      </c>
      <c r="L87" s="159">
        <f t="shared" si="3"/>
        <v>0</v>
      </c>
    </row>
    <row r="88" spans="1:12" x14ac:dyDescent="0.25">
      <c r="A88" s="157"/>
      <c r="B88" s="58" t="s">
        <v>213</v>
      </c>
      <c r="C88" s="96">
        <v>0</v>
      </c>
      <c r="D88" s="96">
        <v>0</v>
      </c>
      <c r="E88" s="109">
        <v>0</v>
      </c>
      <c r="F88" s="96">
        <v>0</v>
      </c>
      <c r="G88" s="58"/>
      <c r="H88" s="58"/>
      <c r="I88" s="165">
        <v>0</v>
      </c>
      <c r="J88" s="132"/>
      <c r="K88" s="158">
        <f t="shared" si="6"/>
        <v>0</v>
      </c>
      <c r="L88" s="159">
        <f t="shared" si="3"/>
        <v>0</v>
      </c>
    </row>
    <row r="89" spans="1:12" x14ac:dyDescent="0.25">
      <c r="A89" s="157" t="s">
        <v>214</v>
      </c>
      <c r="B89" s="58" t="s">
        <v>215</v>
      </c>
      <c r="C89" s="96">
        <v>174521</v>
      </c>
      <c r="D89" s="96">
        <v>175763</v>
      </c>
      <c r="E89" s="109">
        <v>175763</v>
      </c>
      <c r="F89" s="96">
        <v>191004</v>
      </c>
      <c r="G89" s="96">
        <v>187180</v>
      </c>
      <c r="H89" s="96">
        <v>186971</v>
      </c>
      <c r="I89" s="165">
        <v>221483</v>
      </c>
      <c r="J89" s="132">
        <v>0</v>
      </c>
      <c r="K89" s="158">
        <f t="shared" si="6"/>
        <v>-221483</v>
      </c>
      <c r="L89" s="159">
        <f t="shared" si="3"/>
        <v>-1</v>
      </c>
    </row>
    <row r="90" spans="1:12" x14ac:dyDescent="0.25">
      <c r="A90" s="161" t="s">
        <v>216</v>
      </c>
      <c r="B90" s="162"/>
      <c r="C90" s="163">
        <f>SUM(C74:C89)</f>
        <v>382757.06999999995</v>
      </c>
      <c r="D90" s="163">
        <f t="shared" ref="D90:I90" si="7">SUM(D74:D89)</f>
        <v>323272.8</v>
      </c>
      <c r="E90" s="166">
        <f t="shared" si="7"/>
        <v>310619.20999999996</v>
      </c>
      <c r="F90" s="166">
        <f t="shared" si="7"/>
        <v>297024.12</v>
      </c>
      <c r="G90" s="163">
        <f t="shared" si="7"/>
        <v>302087.05</v>
      </c>
      <c r="H90" s="163">
        <f t="shared" si="7"/>
        <v>346196.58999999997</v>
      </c>
      <c r="I90" s="371">
        <f t="shared" si="7"/>
        <v>313997.18200000003</v>
      </c>
      <c r="J90" s="170">
        <f>SUM(J74:J89)</f>
        <v>132830.66999999998</v>
      </c>
      <c r="K90" s="169">
        <f t="shared" si="6"/>
        <v>-181166.51200000005</v>
      </c>
      <c r="L90" s="173">
        <f t="shared" si="3"/>
        <v>-0.57696859203023054</v>
      </c>
    </row>
    <row r="91" spans="1:12" x14ac:dyDescent="0.25">
      <c r="A91" s="174" t="s">
        <v>217</v>
      </c>
      <c r="B91" s="175"/>
      <c r="C91" s="176">
        <f>C90+C73+C68+C32</f>
        <v>1295542.716</v>
      </c>
      <c r="D91" s="176">
        <f>D90+D73+D68+D32+75.65</f>
        <v>1283900.6299999999</v>
      </c>
      <c r="E91" s="177">
        <f>E90+E73+E68+E32</f>
        <v>1176722.1399999999</v>
      </c>
      <c r="F91" s="176">
        <f>F90+F73+F68+F32</f>
        <v>1220804.9800000002</v>
      </c>
      <c r="G91" s="178">
        <f>G32+G68+G73+G90</f>
        <v>1249200.94</v>
      </c>
      <c r="H91" s="178">
        <f>H32+H68+H73+H90</f>
        <v>1275872.71</v>
      </c>
      <c r="I91" s="179">
        <f>I32+I68+I73+I90</f>
        <v>1401210.9489999998</v>
      </c>
      <c r="J91" s="182">
        <f>J32+J68+J73+J90</f>
        <v>1407819.09879</v>
      </c>
      <c r="K91" s="178">
        <f t="shared" si="6"/>
        <v>6608.1497900001705</v>
      </c>
      <c r="L91" s="180">
        <f t="shared" si="3"/>
        <v>4.7160278006079803E-3</v>
      </c>
    </row>
    <row r="92" spans="1:12" ht="21" customHeight="1" thickBot="1" x14ac:dyDescent="0.3">
      <c r="A92" s="174" t="s">
        <v>218</v>
      </c>
      <c r="B92" s="175"/>
      <c r="C92" s="176">
        <f>C25+C32+C68+C73+C90</f>
        <v>6551902.2860000003</v>
      </c>
      <c r="D92" s="176">
        <f>D25+D32+D68+D73+D90</f>
        <v>6653342.4900000002</v>
      </c>
      <c r="E92" s="177">
        <f>E25+E32+E68+E73+E90</f>
        <v>6528570.54</v>
      </c>
      <c r="F92" s="176">
        <f>F25+F32+F68+F73+F90</f>
        <v>6750570.3899999997</v>
      </c>
      <c r="G92" s="176">
        <f>G25+G32+G68+G73+G90</f>
        <v>7146350.3800000008</v>
      </c>
      <c r="H92" s="176">
        <f>H25+H32+H68+H73+H90</f>
        <v>7189185.959999999</v>
      </c>
      <c r="I92" s="181">
        <f>I25+I32+I68+I73+I90</f>
        <v>7982876.4989999989</v>
      </c>
      <c r="J92" s="374">
        <f>J25+J32+J68+J73+J90</f>
        <v>8238573.0987951923</v>
      </c>
      <c r="K92" s="176">
        <f t="shared" si="6"/>
        <v>255696.59979519341</v>
      </c>
      <c r="L92" s="180">
        <f t="shared" si="3"/>
        <v>3.2030634549742087E-2</v>
      </c>
    </row>
    <row r="93" spans="1:12" ht="24" customHeight="1" x14ac:dyDescent="0.25"/>
  </sheetData>
  <mergeCells count="6">
    <mergeCell ref="A52:L52"/>
    <mergeCell ref="A1:J1"/>
    <mergeCell ref="K1:L1"/>
    <mergeCell ref="A3:L3"/>
    <mergeCell ref="A50:J50"/>
    <mergeCell ref="K50:L50"/>
  </mergeCells>
  <pageMargins left="0.7" right="0.7" top="0.25" bottom="0.2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J1" sqref="J1:K1"/>
    </sheetView>
  </sheetViews>
  <sheetFormatPr defaultRowHeight="15" x14ac:dyDescent="0.25"/>
  <cols>
    <col min="1" max="1" width="18" customWidth="1"/>
    <col min="2" max="2" width="40.85546875" bestFit="1" customWidth="1"/>
    <col min="3" max="3" width="14" bestFit="1" customWidth="1"/>
    <col min="4" max="5" width="9.7109375" bestFit="1" customWidth="1"/>
    <col min="6" max="6" width="10" bestFit="1" customWidth="1"/>
    <col min="7" max="7" width="10.85546875" bestFit="1" customWidth="1"/>
    <col min="8" max="8" width="9.7109375" bestFit="1" customWidth="1"/>
    <col min="9" max="9" width="10.140625" bestFit="1" customWidth="1"/>
    <col min="10" max="10" width="11.28515625" bestFit="1" customWidth="1"/>
    <col min="11" max="11" width="11.28515625" customWidth="1"/>
  </cols>
  <sheetData>
    <row r="1" spans="1:11" ht="27" x14ac:dyDescent="0.35">
      <c r="A1" s="384" t="s">
        <v>318</v>
      </c>
      <c r="B1" s="384"/>
      <c r="C1" s="384"/>
      <c r="D1" s="384"/>
      <c r="E1" s="384"/>
      <c r="F1" s="384"/>
      <c r="G1" s="384"/>
      <c r="H1" s="384"/>
      <c r="I1" s="384"/>
      <c r="J1" s="350" t="s">
        <v>224</v>
      </c>
      <c r="K1" s="350"/>
    </row>
    <row r="2" spans="1:11" ht="15.75" thickBot="1" x14ac:dyDescent="0.3"/>
    <row r="3" spans="1:11" ht="24" thickBot="1" x14ac:dyDescent="0.3">
      <c r="A3" s="352" t="s">
        <v>278</v>
      </c>
      <c r="B3" s="353"/>
      <c r="C3" s="353"/>
      <c r="D3" s="353"/>
      <c r="E3" s="353"/>
      <c r="F3" s="353"/>
      <c r="G3" s="353"/>
      <c r="H3" s="353"/>
      <c r="I3" s="353"/>
      <c r="J3" s="353"/>
      <c r="K3" s="354"/>
    </row>
    <row r="4" spans="1:11" ht="51.75" x14ac:dyDescent="0.25">
      <c r="A4" s="209"/>
      <c r="B4" s="121"/>
      <c r="C4" s="284" t="s">
        <v>248</v>
      </c>
      <c r="D4" s="284" t="s">
        <v>249</v>
      </c>
      <c r="E4" s="284" t="s">
        <v>250</v>
      </c>
      <c r="F4" s="284" t="s">
        <v>251</v>
      </c>
      <c r="G4" s="284" t="s">
        <v>252</v>
      </c>
      <c r="H4" s="284" t="s">
        <v>253</v>
      </c>
      <c r="I4" s="351" t="s">
        <v>254</v>
      </c>
      <c r="J4" s="227" t="s">
        <v>255</v>
      </c>
      <c r="K4" s="63" t="s">
        <v>256</v>
      </c>
    </row>
    <row r="5" spans="1:11" ht="15.75" x14ac:dyDescent="0.25">
      <c r="A5" s="210" t="s">
        <v>257</v>
      </c>
      <c r="B5" s="125" t="s">
        <v>258</v>
      </c>
      <c r="C5" s="265"/>
      <c r="D5" s="285"/>
      <c r="E5" s="285"/>
      <c r="F5" s="265"/>
      <c r="G5" s="265"/>
      <c r="H5" s="265"/>
      <c r="I5" s="351"/>
      <c r="J5" s="228" t="s">
        <v>259</v>
      </c>
      <c r="K5" s="30">
        <v>2017</v>
      </c>
    </row>
    <row r="6" spans="1:11" x14ac:dyDescent="0.25">
      <c r="A6" s="211" t="s">
        <v>260</v>
      </c>
      <c r="B6" s="58" t="s">
        <v>109</v>
      </c>
      <c r="C6" s="212"/>
      <c r="D6" s="213"/>
      <c r="E6" s="213">
        <v>13200</v>
      </c>
      <c r="F6" s="212"/>
      <c r="G6" s="212"/>
      <c r="H6" s="212"/>
      <c r="I6" s="225">
        <v>2000</v>
      </c>
      <c r="J6" s="225">
        <v>6044</v>
      </c>
      <c r="K6" s="131">
        <f>SUM(C6:J6)</f>
        <v>21244</v>
      </c>
    </row>
    <row r="7" spans="1:11" x14ac:dyDescent="0.25">
      <c r="A7" s="211" t="s">
        <v>261</v>
      </c>
      <c r="B7" s="58" t="s">
        <v>111</v>
      </c>
      <c r="C7" s="212"/>
      <c r="D7" s="213"/>
      <c r="E7" s="213">
        <v>17000</v>
      </c>
      <c r="F7" s="212">
        <v>10000</v>
      </c>
      <c r="G7" s="212"/>
      <c r="H7" s="212"/>
      <c r="I7" s="225"/>
      <c r="J7" s="225"/>
      <c r="K7" s="131">
        <f>SUM(C7:J7)</f>
        <v>27000</v>
      </c>
    </row>
    <row r="8" spans="1:11" x14ac:dyDescent="0.25">
      <c r="A8" s="211" t="s">
        <v>106</v>
      </c>
      <c r="B8" s="58" t="s">
        <v>262</v>
      </c>
      <c r="C8" s="212"/>
      <c r="D8" s="213"/>
      <c r="E8" s="213"/>
      <c r="F8" s="212"/>
      <c r="G8" s="212"/>
      <c r="H8" s="212"/>
      <c r="I8" s="225">
        <v>4750</v>
      </c>
      <c r="J8" s="225"/>
      <c r="K8" s="131">
        <f>SUM(C8:J8)</f>
        <v>4750</v>
      </c>
    </row>
    <row r="9" spans="1:11" x14ac:dyDescent="0.25">
      <c r="A9" s="211" t="s">
        <v>263</v>
      </c>
      <c r="B9" s="58" t="s">
        <v>264</v>
      </c>
      <c r="C9" s="212"/>
      <c r="D9" s="213"/>
      <c r="E9" s="213"/>
      <c r="F9" s="212"/>
      <c r="G9" s="212"/>
      <c r="H9" s="212"/>
      <c r="I9" s="225"/>
      <c r="J9" s="225">
        <v>24613</v>
      </c>
      <c r="K9" s="131">
        <f>SUM(C9:J9)</f>
        <v>24613</v>
      </c>
    </row>
    <row r="10" spans="1:11" x14ac:dyDescent="0.25">
      <c r="A10" s="214"/>
      <c r="B10" s="215" t="s">
        <v>265</v>
      </c>
      <c r="C10" s="216">
        <f t="shared" ref="C10:K10" si="0">SUM(C6:C9)</f>
        <v>0</v>
      </c>
      <c r="D10" s="217">
        <f t="shared" si="0"/>
        <v>0</v>
      </c>
      <c r="E10" s="216">
        <f t="shared" si="0"/>
        <v>30200</v>
      </c>
      <c r="F10" s="216">
        <f t="shared" si="0"/>
        <v>10000</v>
      </c>
      <c r="G10" s="216">
        <f t="shared" si="0"/>
        <v>0</v>
      </c>
      <c r="H10" s="216">
        <f t="shared" si="0"/>
        <v>0</v>
      </c>
      <c r="I10" s="226">
        <f t="shared" si="0"/>
        <v>6750</v>
      </c>
      <c r="J10" s="226">
        <f t="shared" si="0"/>
        <v>30657</v>
      </c>
      <c r="K10" s="234">
        <f t="shared" si="0"/>
        <v>77607</v>
      </c>
    </row>
    <row r="11" spans="1:11" x14ac:dyDescent="0.25">
      <c r="A11" s="211" t="s">
        <v>266</v>
      </c>
      <c r="B11" s="58" t="s">
        <v>118</v>
      </c>
      <c r="C11" s="212"/>
      <c r="D11" s="213"/>
      <c r="E11" s="213"/>
      <c r="F11" s="212"/>
      <c r="G11" s="212"/>
      <c r="H11" s="212"/>
      <c r="I11" s="225"/>
      <c r="J11" s="225">
        <v>5070</v>
      </c>
      <c r="K11" s="131">
        <f t="shared" ref="K11:K16" si="1">SUM(C11:J11)</f>
        <v>5070</v>
      </c>
    </row>
    <row r="12" spans="1:11" x14ac:dyDescent="0.25">
      <c r="A12" s="211" t="s">
        <v>267</v>
      </c>
      <c r="B12" s="58" t="s">
        <v>126</v>
      </c>
      <c r="C12" s="212"/>
      <c r="D12" s="213">
        <v>56000</v>
      </c>
      <c r="E12" s="213"/>
      <c r="F12" s="212"/>
      <c r="G12" s="212">
        <v>1000</v>
      </c>
      <c r="H12" s="212">
        <v>12000</v>
      </c>
      <c r="I12" s="225"/>
      <c r="J12" s="225"/>
      <c r="K12" s="131">
        <f t="shared" si="1"/>
        <v>69000</v>
      </c>
    </row>
    <row r="13" spans="1:11" x14ac:dyDescent="0.25">
      <c r="A13" s="211" t="s">
        <v>268</v>
      </c>
      <c r="B13" s="58" t="s">
        <v>160</v>
      </c>
      <c r="C13" s="212"/>
      <c r="D13" s="213">
        <v>1500</v>
      </c>
      <c r="E13" s="212"/>
      <c r="F13" s="212"/>
      <c r="G13" s="212">
        <v>3000</v>
      </c>
      <c r="H13" s="212"/>
      <c r="I13" s="225"/>
      <c r="J13" s="225">
        <v>12840</v>
      </c>
      <c r="K13" s="131">
        <f t="shared" si="1"/>
        <v>17340</v>
      </c>
    </row>
    <row r="14" spans="1:11" x14ac:dyDescent="0.25">
      <c r="A14" s="211" t="s">
        <v>269</v>
      </c>
      <c r="B14" s="58" t="s">
        <v>270</v>
      </c>
      <c r="C14" s="212"/>
      <c r="D14" s="213">
        <v>7500</v>
      </c>
      <c r="E14" s="212"/>
      <c r="F14" s="212"/>
      <c r="G14" s="212">
        <v>1000</v>
      </c>
      <c r="H14" s="212"/>
      <c r="I14" s="225"/>
      <c r="J14" s="225">
        <v>4500</v>
      </c>
      <c r="K14" s="131">
        <f t="shared" si="1"/>
        <v>13000</v>
      </c>
    </row>
    <row r="15" spans="1:11" x14ac:dyDescent="0.25">
      <c r="A15" s="211" t="s">
        <v>271</v>
      </c>
      <c r="B15" s="58" t="s">
        <v>237</v>
      </c>
      <c r="C15" s="212"/>
      <c r="D15" s="213"/>
      <c r="E15" s="212"/>
      <c r="F15" s="212"/>
      <c r="G15" s="212"/>
      <c r="H15" s="212"/>
      <c r="I15" s="225">
        <v>13250</v>
      </c>
      <c r="J15" s="225"/>
      <c r="K15" s="131">
        <f t="shared" si="1"/>
        <v>13250</v>
      </c>
    </row>
    <row r="16" spans="1:11" x14ac:dyDescent="0.25">
      <c r="A16" s="211" t="s">
        <v>272</v>
      </c>
      <c r="B16" s="58" t="s">
        <v>176</v>
      </c>
      <c r="C16" s="212"/>
      <c r="D16" s="213"/>
      <c r="E16" s="213"/>
      <c r="F16" s="212"/>
      <c r="G16" s="212"/>
      <c r="H16" s="212"/>
      <c r="I16" s="225"/>
      <c r="J16" s="225">
        <v>25000</v>
      </c>
      <c r="K16" s="131">
        <f t="shared" si="1"/>
        <v>25000</v>
      </c>
    </row>
    <row r="17" spans="1:11" x14ac:dyDescent="0.25">
      <c r="A17" s="214"/>
      <c r="B17" s="215" t="s">
        <v>273</v>
      </c>
      <c r="C17" s="216">
        <f t="shared" ref="C17:K17" si="2">SUM(C11:C16)</f>
        <v>0</v>
      </c>
      <c r="D17" s="217">
        <f t="shared" si="2"/>
        <v>65000</v>
      </c>
      <c r="E17" s="216">
        <f t="shared" si="2"/>
        <v>0</v>
      </c>
      <c r="F17" s="216">
        <f t="shared" si="2"/>
        <v>0</v>
      </c>
      <c r="G17" s="216">
        <f t="shared" si="2"/>
        <v>5000</v>
      </c>
      <c r="H17" s="216">
        <f t="shared" si="2"/>
        <v>12000</v>
      </c>
      <c r="I17" s="226">
        <f t="shared" si="2"/>
        <v>13250</v>
      </c>
      <c r="J17" s="226">
        <f t="shared" si="2"/>
        <v>47410</v>
      </c>
      <c r="K17" s="234">
        <f t="shared" si="2"/>
        <v>142660</v>
      </c>
    </row>
    <row r="18" spans="1:11" x14ac:dyDescent="0.25">
      <c r="A18" s="211" t="s">
        <v>178</v>
      </c>
      <c r="B18" s="58" t="s">
        <v>179</v>
      </c>
      <c r="C18" s="212"/>
      <c r="D18" s="213"/>
      <c r="E18" s="213"/>
      <c r="F18" s="212"/>
      <c r="G18" s="212"/>
      <c r="H18" s="212"/>
      <c r="I18" s="225"/>
      <c r="J18" s="225"/>
      <c r="K18" s="131">
        <f>SUM(C18:J18)</f>
        <v>0</v>
      </c>
    </row>
    <row r="19" spans="1:11" x14ac:dyDescent="0.25">
      <c r="A19" s="211" t="s">
        <v>182</v>
      </c>
      <c r="B19" s="58" t="s">
        <v>183</v>
      </c>
      <c r="C19" s="212"/>
      <c r="D19" s="213"/>
      <c r="E19" s="213">
        <v>52000</v>
      </c>
      <c r="F19" s="212"/>
      <c r="G19" s="212"/>
      <c r="H19" s="212">
        <v>9000</v>
      </c>
      <c r="I19" s="225"/>
      <c r="J19" s="225"/>
      <c r="K19" s="131">
        <f>SUM(C19:J19)</f>
        <v>61000</v>
      </c>
    </row>
    <row r="20" spans="1:11" x14ac:dyDescent="0.25">
      <c r="A20" s="211" t="s">
        <v>184</v>
      </c>
      <c r="B20" s="58" t="s">
        <v>185</v>
      </c>
      <c r="C20" s="212"/>
      <c r="D20" s="213">
        <v>120000</v>
      </c>
      <c r="E20" s="213"/>
      <c r="F20" s="212"/>
      <c r="G20" s="212"/>
      <c r="H20" s="212"/>
      <c r="I20" s="225"/>
      <c r="J20" s="225">
        <v>10878</v>
      </c>
      <c r="K20" s="131">
        <f>SUM(C20:J20)</f>
        <v>130878</v>
      </c>
    </row>
    <row r="21" spans="1:11" x14ac:dyDescent="0.25">
      <c r="A21" s="214"/>
      <c r="B21" s="215" t="s">
        <v>274</v>
      </c>
      <c r="C21" s="216">
        <f>SUM(C18:C20)</f>
        <v>0</v>
      </c>
      <c r="D21" s="217">
        <f t="shared" ref="D21:J21" si="3">SUM(D18:D20)</f>
        <v>120000</v>
      </c>
      <c r="E21" s="216">
        <f>SUM(E18:E20)</f>
        <v>52000</v>
      </c>
      <c r="F21" s="216">
        <f t="shared" si="3"/>
        <v>0</v>
      </c>
      <c r="G21" s="216">
        <f t="shared" si="3"/>
        <v>0</v>
      </c>
      <c r="H21" s="216">
        <f>SUM(H18:H20)</f>
        <v>9000</v>
      </c>
      <c r="I21" s="226">
        <f t="shared" si="3"/>
        <v>0</v>
      </c>
      <c r="J21" s="226">
        <f t="shared" si="3"/>
        <v>10878</v>
      </c>
      <c r="K21" s="234">
        <f>SUM(K18:K20)</f>
        <v>191878</v>
      </c>
    </row>
    <row r="22" spans="1:11" x14ac:dyDescent="0.25">
      <c r="A22" s="211" t="s">
        <v>275</v>
      </c>
      <c r="B22" s="58" t="s">
        <v>197</v>
      </c>
      <c r="C22" s="212">
        <v>1615</v>
      </c>
      <c r="D22" s="213"/>
      <c r="E22" s="213"/>
      <c r="F22" s="212"/>
      <c r="G22" s="212"/>
      <c r="H22" s="212"/>
      <c r="I22" s="225"/>
      <c r="J22" s="225"/>
      <c r="K22" s="131">
        <f>SUM(C22:J22)</f>
        <v>1615</v>
      </c>
    </row>
    <row r="23" spans="1:11" ht="15.75" thickBot="1" x14ac:dyDescent="0.3">
      <c r="A23" s="214"/>
      <c r="B23" s="231" t="s">
        <v>276</v>
      </c>
      <c r="C23" s="226">
        <f t="shared" ref="C23:K23" si="4">SUM(C22:C22)</f>
        <v>1615</v>
      </c>
      <c r="D23" s="226">
        <f t="shared" si="4"/>
        <v>0</v>
      </c>
      <c r="E23" s="226">
        <f t="shared" si="4"/>
        <v>0</v>
      </c>
      <c r="F23" s="226">
        <f t="shared" si="4"/>
        <v>0</v>
      </c>
      <c r="G23" s="226">
        <f t="shared" si="4"/>
        <v>0</v>
      </c>
      <c r="H23" s="226">
        <f t="shared" si="4"/>
        <v>0</v>
      </c>
      <c r="I23" s="226">
        <f t="shared" si="4"/>
        <v>0</v>
      </c>
      <c r="J23" s="226">
        <f t="shared" si="4"/>
        <v>0</v>
      </c>
      <c r="K23" s="235">
        <f t="shared" si="4"/>
        <v>1615</v>
      </c>
    </row>
    <row r="24" spans="1:11" ht="15.75" thickBot="1" x14ac:dyDescent="0.3">
      <c r="A24" s="232" t="s">
        <v>277</v>
      </c>
      <c r="B24" s="233"/>
      <c r="C24" s="229">
        <f t="shared" ref="C24:K24" si="5">SUM(C10+C17+C21+C23)</f>
        <v>1615</v>
      </c>
      <c r="D24" s="229">
        <f t="shared" si="5"/>
        <v>185000</v>
      </c>
      <c r="E24" s="229">
        <f t="shared" si="5"/>
        <v>82200</v>
      </c>
      <c r="F24" s="229">
        <f t="shared" si="5"/>
        <v>10000</v>
      </c>
      <c r="G24" s="229">
        <f t="shared" si="5"/>
        <v>5000</v>
      </c>
      <c r="H24" s="229">
        <f t="shared" si="5"/>
        <v>21000</v>
      </c>
      <c r="I24" s="229">
        <f t="shared" si="5"/>
        <v>20000</v>
      </c>
      <c r="J24" s="230">
        <f t="shared" si="5"/>
        <v>88945</v>
      </c>
      <c r="K24" s="236">
        <f t="shared" si="5"/>
        <v>413760</v>
      </c>
    </row>
    <row r="25" spans="1:11" ht="15.75" thickBot="1" x14ac:dyDescent="0.3"/>
    <row r="26" spans="1:11" ht="24" thickBot="1" x14ac:dyDescent="0.3">
      <c r="A26" s="352" t="s">
        <v>287</v>
      </c>
      <c r="B26" s="353"/>
      <c r="C26" s="353"/>
      <c r="D26" s="353"/>
      <c r="E26" s="353"/>
      <c r="F26" s="353"/>
      <c r="G26" s="354"/>
    </row>
    <row r="27" spans="1:11" x14ac:dyDescent="0.25">
      <c r="A27" s="59"/>
      <c r="B27" s="121"/>
      <c r="C27" s="249"/>
      <c r="D27" s="249"/>
      <c r="E27" s="249"/>
      <c r="F27" s="250"/>
      <c r="G27" s="63"/>
    </row>
    <row r="28" spans="1:11" x14ac:dyDescent="0.25">
      <c r="A28" s="59"/>
      <c r="B28" s="121"/>
      <c r="C28" s="245" t="s">
        <v>279</v>
      </c>
      <c r="D28" s="247" t="s">
        <v>1</v>
      </c>
      <c r="E28" s="247" t="s">
        <v>1</v>
      </c>
      <c r="F28" s="251" t="s">
        <v>36</v>
      </c>
      <c r="G28" s="25" t="s">
        <v>4</v>
      </c>
    </row>
    <row r="29" spans="1:11" ht="15.75" x14ac:dyDescent="0.25">
      <c r="A29" s="124" t="s">
        <v>257</v>
      </c>
      <c r="B29" s="125" t="s">
        <v>258</v>
      </c>
      <c r="C29" s="246" t="s">
        <v>307</v>
      </c>
      <c r="D29" s="248">
        <v>2014</v>
      </c>
      <c r="E29" s="248">
        <v>2015</v>
      </c>
      <c r="F29" s="252">
        <v>2016</v>
      </c>
      <c r="G29" s="30">
        <v>2017</v>
      </c>
    </row>
    <row r="30" spans="1:11" x14ac:dyDescent="0.25">
      <c r="A30" s="128" t="s">
        <v>281</v>
      </c>
      <c r="B30" s="58" t="s">
        <v>118</v>
      </c>
      <c r="C30" s="241"/>
      <c r="D30" s="243"/>
      <c r="E30" s="244">
        <v>5381.25</v>
      </c>
      <c r="F30" s="253"/>
      <c r="G30" s="219"/>
    </row>
    <row r="31" spans="1:11" x14ac:dyDescent="0.25">
      <c r="A31" s="128" t="s">
        <v>282</v>
      </c>
      <c r="B31" s="58" t="s">
        <v>283</v>
      </c>
      <c r="C31" s="241"/>
      <c r="D31" s="243"/>
      <c r="E31" s="244">
        <v>15981.24</v>
      </c>
      <c r="F31" s="253"/>
      <c r="G31" s="219"/>
    </row>
    <row r="32" spans="1:11" x14ac:dyDescent="0.25">
      <c r="A32" s="128" t="s">
        <v>184</v>
      </c>
      <c r="B32" s="58" t="s">
        <v>185</v>
      </c>
      <c r="C32" s="212"/>
      <c r="D32" s="244">
        <v>19385.560000000001</v>
      </c>
      <c r="E32" s="244"/>
      <c r="F32" s="254">
        <v>100981</v>
      </c>
      <c r="G32" s="131"/>
    </row>
    <row r="33" spans="1:7" x14ac:dyDescent="0.25">
      <c r="A33" s="128" t="s">
        <v>284</v>
      </c>
      <c r="B33" s="58" t="s">
        <v>285</v>
      </c>
      <c r="C33" s="212"/>
      <c r="D33" s="244"/>
      <c r="E33" s="244">
        <v>350</v>
      </c>
      <c r="F33" s="254"/>
      <c r="G33" s="131"/>
    </row>
    <row r="34" spans="1:7" x14ac:dyDescent="0.25">
      <c r="A34" s="355" t="s">
        <v>288</v>
      </c>
      <c r="B34" s="356"/>
      <c r="C34" s="242"/>
      <c r="D34" s="242"/>
      <c r="E34" s="242"/>
      <c r="F34" s="255"/>
      <c r="G34" s="221">
        <v>58288</v>
      </c>
    </row>
    <row r="35" spans="1:7" ht="15.75" thickBot="1" x14ac:dyDescent="0.3">
      <c r="A35" s="222" t="s">
        <v>286</v>
      </c>
      <c r="B35" s="223"/>
      <c r="C35" s="224">
        <v>200367</v>
      </c>
      <c r="D35" s="224">
        <v>19386</v>
      </c>
      <c r="E35" s="224">
        <f>SUM(E30:E34)</f>
        <v>21712.489999999998</v>
      </c>
      <c r="F35" s="224">
        <f>SUM(F32:F34)</f>
        <v>100981</v>
      </c>
      <c r="G35" s="218">
        <f>+G34</f>
        <v>58288</v>
      </c>
    </row>
  </sheetData>
  <mergeCells count="6">
    <mergeCell ref="A34:B34"/>
    <mergeCell ref="A1:I1"/>
    <mergeCell ref="J1:K1"/>
    <mergeCell ref="A3:K3"/>
    <mergeCell ref="I4:I5"/>
    <mergeCell ref="A26:G26"/>
  </mergeCells>
  <pageMargins left="0.7" right="0.7" top="0.25" bottom="0.25" header="0.3" footer="0.3"/>
  <pageSetup paperSize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7" workbookViewId="0">
      <selection activeCell="J1" sqref="J1:K1"/>
    </sheetView>
  </sheetViews>
  <sheetFormatPr defaultRowHeight="15" x14ac:dyDescent="0.25"/>
  <cols>
    <col min="1" max="1" width="15.28515625" customWidth="1"/>
    <col min="2" max="2" width="26.28515625" customWidth="1"/>
    <col min="3" max="3" width="14" bestFit="1" customWidth="1"/>
    <col min="4" max="4" width="9.7109375" bestFit="1" customWidth="1"/>
    <col min="5" max="5" width="15.140625" bestFit="1" customWidth="1"/>
    <col min="6" max="6" width="14.42578125" bestFit="1" customWidth="1"/>
    <col min="7" max="8" width="11.5703125" bestFit="1" customWidth="1"/>
    <col min="9" max="10" width="15.42578125" bestFit="1" customWidth="1"/>
    <col min="11" max="11" width="11.85546875" bestFit="1" customWidth="1"/>
    <col min="12" max="12" width="5.28515625" bestFit="1" customWidth="1"/>
  </cols>
  <sheetData>
    <row r="1" spans="1:11" ht="27.75" thickBot="1" x14ac:dyDescent="0.4">
      <c r="A1" s="384" t="s">
        <v>319</v>
      </c>
      <c r="B1" s="384"/>
      <c r="C1" s="384"/>
      <c r="D1" s="384"/>
      <c r="E1" s="384"/>
      <c r="F1" s="384"/>
      <c r="G1" s="384"/>
      <c r="H1" s="384"/>
      <c r="I1" s="384"/>
      <c r="J1" s="350" t="s">
        <v>224</v>
      </c>
      <c r="K1" s="350"/>
    </row>
    <row r="2" spans="1:11" ht="24" thickBot="1" x14ac:dyDescent="0.3">
      <c r="A2" s="352" t="s">
        <v>305</v>
      </c>
      <c r="B2" s="353"/>
      <c r="C2" s="353"/>
      <c r="D2" s="353"/>
      <c r="E2" s="353"/>
      <c r="F2" s="353"/>
      <c r="G2" s="354"/>
    </row>
    <row r="3" spans="1:11" x14ac:dyDescent="0.25">
      <c r="A3" s="116"/>
      <c r="B3" s="117"/>
      <c r="C3" s="274"/>
      <c r="D3" s="275"/>
      <c r="E3" s="276"/>
      <c r="F3" s="277"/>
      <c r="G3" s="267"/>
    </row>
    <row r="4" spans="1:11" x14ac:dyDescent="0.25">
      <c r="A4" s="59"/>
      <c r="B4" s="121"/>
      <c r="C4" s="260" t="s">
        <v>306</v>
      </c>
      <c r="D4" s="247" t="s">
        <v>1</v>
      </c>
      <c r="E4" s="251" t="s">
        <v>1</v>
      </c>
      <c r="F4" s="266" t="s">
        <v>36</v>
      </c>
      <c r="G4" s="268" t="s">
        <v>4</v>
      </c>
    </row>
    <row r="5" spans="1:11" ht="15.75" x14ac:dyDescent="0.25">
      <c r="A5" s="124" t="s">
        <v>257</v>
      </c>
      <c r="B5" s="125" t="s">
        <v>7</v>
      </c>
      <c r="C5" s="260" t="s">
        <v>307</v>
      </c>
      <c r="D5" s="248">
        <v>2014</v>
      </c>
      <c r="E5" s="252">
        <v>2015</v>
      </c>
      <c r="F5" s="228">
        <v>2016</v>
      </c>
      <c r="G5" s="269">
        <v>2017</v>
      </c>
    </row>
    <row r="6" spans="1:11" x14ac:dyDescent="0.25">
      <c r="A6" s="128" t="s">
        <v>290</v>
      </c>
      <c r="B6" s="58" t="s">
        <v>68</v>
      </c>
      <c r="C6" s="258"/>
      <c r="D6" s="261"/>
      <c r="E6" s="263">
        <v>44638.720000000001</v>
      </c>
      <c r="F6" s="263">
        <v>62975</v>
      </c>
      <c r="G6" s="270">
        <v>64236</v>
      </c>
    </row>
    <row r="7" spans="1:11" x14ac:dyDescent="0.25">
      <c r="A7" s="128" t="s">
        <v>291</v>
      </c>
      <c r="B7" s="58" t="s">
        <v>72</v>
      </c>
      <c r="C7" s="258"/>
      <c r="D7" s="261"/>
      <c r="E7" s="263">
        <v>1322.46</v>
      </c>
      <c r="F7" s="263">
        <v>945</v>
      </c>
      <c r="G7" s="270">
        <v>964</v>
      </c>
    </row>
    <row r="8" spans="1:11" x14ac:dyDescent="0.25">
      <c r="A8" s="128" t="s">
        <v>292</v>
      </c>
      <c r="B8" s="58" t="s">
        <v>74</v>
      </c>
      <c r="C8" s="258"/>
      <c r="D8" s="261"/>
      <c r="E8" s="263">
        <v>148.4</v>
      </c>
      <c r="F8" s="263"/>
      <c r="G8" s="270"/>
    </row>
    <row r="9" spans="1:11" x14ac:dyDescent="0.25">
      <c r="A9" s="128" t="s">
        <v>293</v>
      </c>
      <c r="B9" s="58" t="s">
        <v>294</v>
      </c>
      <c r="C9" s="258"/>
      <c r="D9" s="261"/>
      <c r="E9" s="263">
        <v>4180</v>
      </c>
      <c r="F9" s="263"/>
      <c r="G9" s="270"/>
    </row>
    <row r="10" spans="1:11" x14ac:dyDescent="0.25">
      <c r="A10" s="128" t="s">
        <v>295</v>
      </c>
      <c r="B10" s="58" t="s">
        <v>86</v>
      </c>
      <c r="C10" s="258"/>
      <c r="D10" s="261"/>
      <c r="E10" s="263">
        <v>728.68</v>
      </c>
      <c r="F10" s="263">
        <v>963</v>
      </c>
      <c r="G10" s="270">
        <v>963</v>
      </c>
    </row>
    <row r="11" spans="1:11" x14ac:dyDescent="0.25">
      <c r="A11" s="128" t="s">
        <v>296</v>
      </c>
      <c r="B11" s="58" t="s">
        <v>88</v>
      </c>
      <c r="C11" s="258"/>
      <c r="D11" s="261"/>
      <c r="E11" s="263">
        <v>3745.31</v>
      </c>
      <c r="F11" s="263">
        <v>4890</v>
      </c>
      <c r="G11" s="270">
        <v>4988</v>
      </c>
    </row>
    <row r="12" spans="1:11" x14ac:dyDescent="0.25">
      <c r="A12" s="128" t="s">
        <v>297</v>
      </c>
      <c r="B12" s="58" t="s">
        <v>90</v>
      </c>
      <c r="C12" s="258"/>
      <c r="D12" s="261"/>
      <c r="E12" s="263">
        <v>5312.23</v>
      </c>
      <c r="F12" s="263">
        <v>7146.2559999999994</v>
      </c>
      <c r="G12" s="270">
        <v>7289</v>
      </c>
    </row>
    <row r="13" spans="1:11" x14ac:dyDescent="0.25">
      <c r="A13" s="128"/>
      <c r="B13" s="58" t="s">
        <v>304</v>
      </c>
      <c r="C13" s="258"/>
      <c r="D13" s="261"/>
      <c r="E13" s="263"/>
      <c r="F13" s="263">
        <v>11550</v>
      </c>
      <c r="G13" s="270">
        <v>11550</v>
      </c>
    </row>
    <row r="14" spans="1:11" x14ac:dyDescent="0.25">
      <c r="A14" s="357" t="s">
        <v>103</v>
      </c>
      <c r="B14" s="361"/>
      <c r="C14" s="259"/>
      <c r="D14" s="262"/>
      <c r="E14" s="264">
        <f>SUM(E6:E13)</f>
        <v>60075.8</v>
      </c>
      <c r="F14" s="264">
        <v>88469.255999999994</v>
      </c>
      <c r="G14" s="271">
        <f>SUM(G6:G13)</f>
        <v>89990</v>
      </c>
    </row>
    <row r="15" spans="1:11" x14ac:dyDescent="0.25">
      <c r="A15" s="128" t="s">
        <v>298</v>
      </c>
      <c r="B15" s="58" t="s">
        <v>109</v>
      </c>
      <c r="C15" s="258"/>
      <c r="D15" s="261"/>
      <c r="E15" s="263">
        <v>24488.62</v>
      </c>
      <c r="F15" s="263"/>
      <c r="G15" s="270"/>
    </row>
    <row r="16" spans="1:11" x14ac:dyDescent="0.25">
      <c r="A16" s="128" t="s">
        <v>299</v>
      </c>
      <c r="B16" s="58" t="s">
        <v>111</v>
      </c>
      <c r="C16" s="258"/>
      <c r="D16" s="261">
        <v>19903</v>
      </c>
      <c r="E16" s="263">
        <v>5359.91</v>
      </c>
      <c r="F16" s="263">
        <v>2871</v>
      </c>
      <c r="G16" s="270">
        <f>+'[1]Approp Worksheet'!H422</f>
        <v>0</v>
      </c>
    </row>
    <row r="17" spans="1:12" x14ac:dyDescent="0.25">
      <c r="A17" s="128" t="s">
        <v>300</v>
      </c>
      <c r="B17" s="58" t="s">
        <v>113</v>
      </c>
      <c r="C17" s="258"/>
      <c r="D17" s="261"/>
      <c r="E17" s="263">
        <v>149376.76</v>
      </c>
      <c r="F17" s="263"/>
      <c r="G17" s="270"/>
    </row>
    <row r="18" spans="1:12" x14ac:dyDescent="0.25">
      <c r="A18" s="128" t="s">
        <v>301</v>
      </c>
      <c r="B18" s="58" t="s">
        <v>115</v>
      </c>
      <c r="C18" s="258"/>
      <c r="D18" s="261"/>
      <c r="E18" s="263">
        <v>6213.96</v>
      </c>
      <c r="F18" s="263"/>
      <c r="G18" s="270"/>
    </row>
    <row r="19" spans="1:12" x14ac:dyDescent="0.25">
      <c r="A19" s="357" t="s">
        <v>116</v>
      </c>
      <c r="B19" s="361"/>
      <c r="C19" s="259"/>
      <c r="D19" s="262">
        <f>SUM(D7:D18)</f>
        <v>19903</v>
      </c>
      <c r="E19" s="264">
        <f>SUM(E15:E18)</f>
        <v>185439.25</v>
      </c>
      <c r="F19" s="264">
        <v>2871</v>
      </c>
      <c r="G19" s="271">
        <f>SUM(G15:G18)</f>
        <v>0</v>
      </c>
    </row>
    <row r="20" spans="1:12" x14ac:dyDescent="0.25">
      <c r="A20" s="128" t="s">
        <v>302</v>
      </c>
      <c r="B20" s="58" t="s">
        <v>126</v>
      </c>
      <c r="C20" s="258"/>
      <c r="D20" s="261"/>
      <c r="E20" s="263">
        <v>4450</v>
      </c>
      <c r="F20" s="263">
        <v>24984.94</v>
      </c>
      <c r="G20" s="270">
        <f>+'[1]Approp Worksheet'!H426</f>
        <v>0</v>
      </c>
    </row>
    <row r="21" spans="1:12" x14ac:dyDescent="0.25">
      <c r="A21" s="128" t="s">
        <v>303</v>
      </c>
      <c r="B21" s="58" t="s">
        <v>176</v>
      </c>
      <c r="C21" s="258"/>
      <c r="D21" s="261"/>
      <c r="E21" s="263"/>
      <c r="F21" s="263"/>
      <c r="G21" s="270">
        <v>37267</v>
      </c>
    </row>
    <row r="22" spans="1:12" x14ac:dyDescent="0.25">
      <c r="A22" s="357" t="s">
        <v>177</v>
      </c>
      <c r="B22" s="358"/>
      <c r="C22" s="259"/>
      <c r="D22" s="262">
        <f>SUM(D20:D21)</f>
        <v>0</v>
      </c>
      <c r="E22" s="264">
        <f>SUM(E20:E21)</f>
        <v>4450</v>
      </c>
      <c r="F22" s="264">
        <v>24984.94</v>
      </c>
      <c r="G22" s="271">
        <f>SUM(G20:G21)</f>
        <v>37267</v>
      </c>
    </row>
    <row r="23" spans="1:12" x14ac:dyDescent="0.25">
      <c r="A23" s="128" t="s">
        <v>182</v>
      </c>
      <c r="B23" s="58" t="s">
        <v>183</v>
      </c>
      <c r="C23" s="258"/>
      <c r="D23" s="261"/>
      <c r="E23" s="263">
        <v>493850.05</v>
      </c>
      <c r="F23" s="263">
        <v>282700</v>
      </c>
      <c r="G23" s="270"/>
    </row>
    <row r="24" spans="1:12" x14ac:dyDescent="0.25">
      <c r="A24" s="128" t="s">
        <v>184</v>
      </c>
      <c r="B24" s="58" t="s">
        <v>343</v>
      </c>
      <c r="C24" s="258"/>
      <c r="D24" s="261"/>
      <c r="E24" s="263"/>
      <c r="F24" s="263"/>
      <c r="G24" s="270">
        <v>10000</v>
      </c>
    </row>
    <row r="25" spans="1:12" ht="15.75" thickBot="1" x14ac:dyDescent="0.3">
      <c r="A25" s="357" t="s">
        <v>186</v>
      </c>
      <c r="B25" s="358"/>
      <c r="C25" s="259"/>
      <c r="D25" s="262">
        <f>SUM(D23:D24)</f>
        <v>0</v>
      </c>
      <c r="E25" s="264">
        <f>SUM(E23:E24)</f>
        <v>493850.05</v>
      </c>
      <c r="F25" s="264">
        <v>282700</v>
      </c>
      <c r="G25" s="271">
        <f>SUM(G23:G24)</f>
        <v>10000</v>
      </c>
    </row>
    <row r="26" spans="1:12" ht="15.75" thickBot="1" x14ac:dyDescent="0.3">
      <c r="A26" s="359" t="s">
        <v>308</v>
      </c>
      <c r="B26" s="360"/>
      <c r="C26" s="278">
        <v>1300000</v>
      </c>
      <c r="D26" s="279">
        <f>D14+D22+D25+D19</f>
        <v>19903</v>
      </c>
      <c r="E26" s="280">
        <f>E14+E22+E25+E19</f>
        <v>743815.1</v>
      </c>
      <c r="F26" s="280">
        <v>399025.196</v>
      </c>
      <c r="G26" s="283">
        <f>G14+G22+G25+G19</f>
        <v>137257</v>
      </c>
    </row>
    <row r="27" spans="1:12" x14ac:dyDescent="0.25">
      <c r="A27" s="58"/>
      <c r="B27" s="58"/>
      <c r="C27" s="58"/>
      <c r="D27" s="58"/>
      <c r="E27" s="58"/>
      <c r="G27" s="282" t="s">
        <v>310</v>
      </c>
    </row>
    <row r="28" spans="1:12" x14ac:dyDescent="0.25">
      <c r="A28" s="58"/>
      <c r="B28" s="58"/>
      <c r="C28" s="58"/>
      <c r="D28" s="58"/>
      <c r="E28" s="58"/>
      <c r="G28" s="272" t="s">
        <v>311</v>
      </c>
    </row>
    <row r="29" spans="1:12" ht="15.75" thickBot="1" x14ac:dyDescent="0.3">
      <c r="A29" s="58"/>
      <c r="B29" s="58"/>
      <c r="C29" s="58"/>
      <c r="D29" s="58"/>
      <c r="E29" s="103"/>
      <c r="G29" s="273" t="s">
        <v>309</v>
      </c>
    </row>
    <row r="30" spans="1:12" ht="6" customHeight="1" x14ac:dyDescent="0.25">
      <c r="A30" s="58"/>
      <c r="B30" s="58"/>
      <c r="C30" s="58"/>
      <c r="D30" s="58"/>
      <c r="E30" s="103"/>
      <c r="G30" s="240"/>
    </row>
    <row r="31" spans="1:12" ht="23.25" x14ac:dyDescent="0.35">
      <c r="A31" s="58"/>
      <c r="B31" s="362" t="s">
        <v>350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5.75" thickBot="1" x14ac:dyDescent="0.3">
      <c r="A32" s="58"/>
      <c r="B32" s="58"/>
      <c r="C32" s="58" t="s">
        <v>320</v>
      </c>
      <c r="D32" s="58" t="s">
        <v>321</v>
      </c>
      <c r="E32" s="58" t="s">
        <v>322</v>
      </c>
      <c r="F32" t="s">
        <v>323</v>
      </c>
      <c r="G32" t="s">
        <v>324</v>
      </c>
      <c r="H32" t="s">
        <v>325</v>
      </c>
      <c r="I32" t="s">
        <v>326</v>
      </c>
      <c r="J32" t="s">
        <v>327</v>
      </c>
    </row>
    <row r="33" spans="2:12" ht="15.75" x14ac:dyDescent="0.25">
      <c r="B33" s="292" t="s">
        <v>345</v>
      </c>
      <c r="C33" s="293">
        <v>93949.333333333328</v>
      </c>
      <c r="D33" s="294">
        <v>6.287638043920893</v>
      </c>
      <c r="E33" s="295">
        <v>590719.4024676719</v>
      </c>
      <c r="F33" s="295">
        <v>0.44046854575681815</v>
      </c>
      <c r="G33" s="295">
        <v>41381.726228155894</v>
      </c>
      <c r="H33" s="295">
        <v>5000</v>
      </c>
      <c r="I33" s="296">
        <v>656315.42986255896</v>
      </c>
      <c r="J33" s="333">
        <v>637101.12869582779</v>
      </c>
      <c r="K33" s="297">
        <v>-19214.301166731166</v>
      </c>
      <c r="L33" s="298">
        <v>-2.9276016214878409E-2</v>
      </c>
    </row>
    <row r="34" spans="2:12" ht="15.75" x14ac:dyDescent="0.25">
      <c r="B34" s="291" t="s">
        <v>328</v>
      </c>
      <c r="C34" s="299">
        <v>386</v>
      </c>
      <c r="D34" s="300">
        <v>6.287638043920893</v>
      </c>
      <c r="E34" s="301">
        <v>2427.0282849534647</v>
      </c>
      <c r="F34" s="301"/>
      <c r="G34" s="301">
        <v>0</v>
      </c>
      <c r="H34" s="301">
        <v>5000</v>
      </c>
      <c r="I34" s="302"/>
      <c r="J34" s="334">
        <v>7427.0282849534651</v>
      </c>
      <c r="K34" s="103">
        <v>7427.0282849534651</v>
      </c>
      <c r="L34" s="303"/>
    </row>
    <row r="35" spans="2:12" ht="15.75" x14ac:dyDescent="0.25">
      <c r="B35" s="292" t="s">
        <v>329</v>
      </c>
      <c r="C35" s="293">
        <v>12338.333333333334</v>
      </c>
      <c r="D35" s="294">
        <v>6.287638043920893</v>
      </c>
      <c r="E35" s="295">
        <v>77578.97406524395</v>
      </c>
      <c r="F35" s="295">
        <v>0.44046854575681815</v>
      </c>
      <c r="G35" s="295">
        <v>5434.6477403962081</v>
      </c>
      <c r="H35" s="295">
        <v>5000</v>
      </c>
      <c r="I35" s="296">
        <v>83553.688497665673</v>
      </c>
      <c r="J35" s="335">
        <v>88013.621805640156</v>
      </c>
      <c r="K35" s="297">
        <v>4459.9333079744829</v>
      </c>
      <c r="L35" s="298">
        <v>5.3378054137000586E-2</v>
      </c>
    </row>
    <row r="36" spans="2:12" ht="15.75" x14ac:dyDescent="0.25">
      <c r="B36" s="291" t="s">
        <v>330</v>
      </c>
      <c r="C36" s="299">
        <v>14013.166666666666</v>
      </c>
      <c r="D36" s="300">
        <v>6.287638043920893</v>
      </c>
      <c r="E36" s="301">
        <v>88109.719849137458</v>
      </c>
      <c r="F36" s="301">
        <v>0.44046854575681815</v>
      </c>
      <c r="G36" s="301">
        <v>6172.3591431145851</v>
      </c>
      <c r="H36" s="301">
        <v>5000</v>
      </c>
      <c r="I36" s="302">
        <v>85065.038692062168</v>
      </c>
      <c r="J36" s="334">
        <v>99282.078992252049</v>
      </c>
      <c r="K36" s="103">
        <v>14217.040300189881</v>
      </c>
      <c r="L36" s="303">
        <v>0.16713141519462504</v>
      </c>
    </row>
    <row r="37" spans="2:12" ht="15.75" x14ac:dyDescent="0.25">
      <c r="B37" s="292" t="s">
        <v>331</v>
      </c>
      <c r="C37" s="293">
        <v>22228.333333333332</v>
      </c>
      <c r="D37" s="294">
        <v>6.287638043920893</v>
      </c>
      <c r="E37" s="295">
        <v>139763.71431962156</v>
      </c>
      <c r="F37" s="295">
        <v>0.44046854575681815</v>
      </c>
      <c r="G37" s="295">
        <v>9790.8816579311388</v>
      </c>
      <c r="H37" s="295">
        <v>5000</v>
      </c>
      <c r="I37" s="296">
        <v>149325.88732715516</v>
      </c>
      <c r="J37" s="335">
        <v>154554.5959775527</v>
      </c>
      <c r="K37" s="297">
        <v>5228.7086503975443</v>
      </c>
      <c r="L37" s="298">
        <v>3.5015419924758762E-2</v>
      </c>
    </row>
    <row r="38" spans="2:12" ht="15.75" x14ac:dyDescent="0.25">
      <c r="B38" s="291" t="s">
        <v>332</v>
      </c>
      <c r="C38" s="299">
        <v>8299.3333333333339</v>
      </c>
      <c r="D38" s="300">
        <v>6.287638043920893</v>
      </c>
      <c r="E38" s="301">
        <v>52183.204005847467</v>
      </c>
      <c r="F38" s="301">
        <v>0</v>
      </c>
      <c r="G38" s="301"/>
      <c r="H38" s="301">
        <v>5000</v>
      </c>
      <c r="I38" s="302">
        <v>63544.327278399782</v>
      </c>
      <c r="J38" s="334">
        <v>57183.204005847467</v>
      </c>
      <c r="K38" s="103">
        <v>-6361.123272552315</v>
      </c>
      <c r="L38" s="303">
        <v>-0.10010528940975372</v>
      </c>
    </row>
    <row r="39" spans="2:12" ht="15.75" x14ac:dyDescent="0.25">
      <c r="B39" s="292" t="s">
        <v>333</v>
      </c>
      <c r="C39" s="293">
        <v>2417</v>
      </c>
      <c r="D39" s="294">
        <v>6.287638043920893</v>
      </c>
      <c r="E39" s="295">
        <v>15197.221152156799</v>
      </c>
      <c r="F39" s="295">
        <v>0</v>
      </c>
      <c r="G39" s="295"/>
      <c r="H39" s="295">
        <v>5000</v>
      </c>
      <c r="I39" s="296">
        <v>20592.354497090018</v>
      </c>
      <c r="J39" s="335">
        <v>20197.221152156799</v>
      </c>
      <c r="K39" s="297">
        <v>-395.13334493321963</v>
      </c>
      <c r="L39" s="298">
        <v>-1.9188351919109503E-2</v>
      </c>
    </row>
    <row r="40" spans="2:12" ht="15.75" x14ac:dyDescent="0.25">
      <c r="B40" s="291" t="s">
        <v>334</v>
      </c>
      <c r="C40" s="74">
        <v>54463.333333333336</v>
      </c>
      <c r="D40" s="300">
        <v>6.287638043920893</v>
      </c>
      <c r="E40" s="301">
        <v>342445.72666541161</v>
      </c>
      <c r="F40" s="301">
        <v>0.44046854575681815</v>
      </c>
      <c r="G40" s="301">
        <v>23989.385230402175</v>
      </c>
      <c r="H40" s="301">
        <v>5000</v>
      </c>
      <c r="I40" s="302">
        <v>372515.89684506808</v>
      </c>
      <c r="J40" s="334">
        <v>371435.11189581378</v>
      </c>
      <c r="K40" s="103">
        <v>-1080.7849492543028</v>
      </c>
      <c r="L40" s="303">
        <v>-2.9013122887042719E-3</v>
      </c>
    </row>
    <row r="41" spans="2:12" ht="15.75" x14ac:dyDescent="0.25">
      <c r="B41" s="304" t="s">
        <v>335</v>
      </c>
      <c r="C41" s="305">
        <v>7618.333333333333</v>
      </c>
      <c r="D41" s="306">
        <v>22.510941033788157</v>
      </c>
      <c r="E41" s="307">
        <v>171495.85244240944</v>
      </c>
      <c r="F41" s="308"/>
      <c r="G41" s="307">
        <v>0</v>
      </c>
      <c r="H41" s="307">
        <v>5000</v>
      </c>
      <c r="I41" s="309">
        <v>173990.93857850102</v>
      </c>
      <c r="J41" s="336">
        <v>176495.85244240944</v>
      </c>
      <c r="K41" s="310">
        <v>2504.9138639084122</v>
      </c>
      <c r="L41" s="311">
        <v>1.4396806433561782E-2</v>
      </c>
    </row>
    <row r="42" spans="2:12" ht="15.75" x14ac:dyDescent="0.25">
      <c r="B42" s="291" t="s">
        <v>336</v>
      </c>
      <c r="C42" s="299">
        <v>2326.6666666666665</v>
      </c>
      <c r="D42" s="300">
        <v>22.510941033788157</v>
      </c>
      <c r="E42" s="301">
        <v>52375.456138613772</v>
      </c>
      <c r="F42" s="312"/>
      <c r="G42" s="301">
        <v>0</v>
      </c>
      <c r="H42" s="301">
        <v>5000</v>
      </c>
      <c r="I42" s="302">
        <v>57003.920715791886</v>
      </c>
      <c r="J42" s="334">
        <v>57375.456138613772</v>
      </c>
      <c r="K42" s="103">
        <v>371.53542282188573</v>
      </c>
      <c r="L42" s="303">
        <v>6.5177169948409386E-3</v>
      </c>
    </row>
    <row r="43" spans="2:12" ht="15.75" x14ac:dyDescent="0.25">
      <c r="B43" s="304" t="s">
        <v>337</v>
      </c>
      <c r="C43" s="313">
        <v>170.33333333333334</v>
      </c>
      <c r="D43" s="306">
        <v>22.510941033788157</v>
      </c>
      <c r="E43" s="307">
        <v>3834.3636227552497</v>
      </c>
      <c r="F43" s="308"/>
      <c r="G43" s="307"/>
      <c r="H43" s="307"/>
      <c r="I43" s="309">
        <v>3774.0305322026124</v>
      </c>
      <c r="J43" s="336">
        <v>3834.3636227552497</v>
      </c>
      <c r="K43" s="310">
        <v>60.333090552637259</v>
      </c>
      <c r="L43" s="311">
        <v>1.5986381148174189E-2</v>
      </c>
    </row>
    <row r="44" spans="2:12" ht="15.75" x14ac:dyDescent="0.25">
      <c r="B44" s="291" t="s">
        <v>338</v>
      </c>
      <c r="C44" s="74">
        <v>7146.666666666667</v>
      </c>
      <c r="D44" s="300">
        <v>22.510941033788157</v>
      </c>
      <c r="E44" s="301">
        <v>160878.19192147269</v>
      </c>
      <c r="F44" s="312"/>
      <c r="G44" s="301">
        <v>0</v>
      </c>
      <c r="H44" s="301">
        <v>5000</v>
      </c>
      <c r="I44" s="302">
        <v>167473.60013843686</v>
      </c>
      <c r="J44" s="334">
        <v>165878.19192147269</v>
      </c>
      <c r="K44" s="103">
        <v>-1595.4082169641624</v>
      </c>
      <c r="L44" s="303">
        <v>-9.5263266308562855E-3</v>
      </c>
    </row>
    <row r="45" spans="2:12" ht="15.75" x14ac:dyDescent="0.25">
      <c r="B45" s="304" t="s">
        <v>339</v>
      </c>
      <c r="C45" s="313">
        <v>9015.3333333333339</v>
      </c>
      <c r="D45" s="306">
        <v>22.510941033788157</v>
      </c>
      <c r="E45" s="307">
        <v>202943.63706661153</v>
      </c>
      <c r="F45" s="308"/>
      <c r="G45" s="307">
        <v>0</v>
      </c>
      <c r="H45" s="307">
        <v>5000</v>
      </c>
      <c r="I45" s="309">
        <v>207402.20887829477</v>
      </c>
      <c r="J45" s="336">
        <v>207943.63706661153</v>
      </c>
      <c r="K45" s="310">
        <v>541.42818831675686</v>
      </c>
      <c r="L45" s="311">
        <v>2.6105227675490283E-3</v>
      </c>
    </row>
    <row r="46" spans="2:12" ht="15.75" x14ac:dyDescent="0.25">
      <c r="B46" s="291" t="s">
        <v>340</v>
      </c>
      <c r="C46" s="74">
        <v>3364.3333333333335</v>
      </c>
      <c r="D46" s="300">
        <v>22.510941033788157</v>
      </c>
      <c r="E46" s="301">
        <v>75734.309284674629</v>
      </c>
      <c r="F46" s="312"/>
      <c r="G46" s="301">
        <v>0</v>
      </c>
      <c r="H46" s="301">
        <v>5000</v>
      </c>
      <c r="I46" s="302">
        <v>81772.978242264493</v>
      </c>
      <c r="J46" s="334">
        <v>80734.309284674629</v>
      </c>
      <c r="K46" s="103">
        <v>-1038.6689575898636</v>
      </c>
      <c r="L46" s="303">
        <v>-1.2701860442365875E-2</v>
      </c>
    </row>
    <row r="47" spans="2:12" ht="16.5" thickBot="1" x14ac:dyDescent="0.3">
      <c r="B47" s="314" t="s">
        <v>341</v>
      </c>
      <c r="C47" s="315">
        <v>2629.3333333333335</v>
      </c>
      <c r="D47" s="316">
        <v>22.510941033788157</v>
      </c>
      <c r="E47" s="317">
        <v>59188.76762484033</v>
      </c>
      <c r="F47" s="318"/>
      <c r="G47" s="317">
        <v>0</v>
      </c>
      <c r="H47" s="317">
        <v>5000</v>
      </c>
      <c r="I47" s="319">
        <v>65027.699914508361</v>
      </c>
      <c r="J47" s="337">
        <v>64188.76762484033</v>
      </c>
      <c r="K47" s="310">
        <v>-838.93228966803144</v>
      </c>
      <c r="L47" s="311">
        <v>-1.2901152751380929E-2</v>
      </c>
    </row>
    <row r="48" spans="2:12" ht="15.75" thickBot="1" x14ac:dyDescent="0.3">
      <c r="B48" s="320" t="s">
        <v>342</v>
      </c>
      <c r="C48" s="321">
        <v>240365.83333333337</v>
      </c>
      <c r="D48" s="322"/>
      <c r="E48" s="323">
        <v>2034875.568911422</v>
      </c>
      <c r="F48" s="323"/>
      <c r="G48" s="323">
        <v>86769</v>
      </c>
      <c r="H48" s="323">
        <v>70000</v>
      </c>
      <c r="I48" s="324">
        <v>2187359</v>
      </c>
      <c r="J48" s="325">
        <v>2191644.5689114216</v>
      </c>
      <c r="K48" s="290"/>
      <c r="L48" s="290"/>
    </row>
    <row r="49" spans="2:10" x14ac:dyDescent="0.25">
      <c r="B49" t="s">
        <v>352</v>
      </c>
      <c r="E49" s="20"/>
      <c r="G49" s="20"/>
      <c r="J49" s="20"/>
    </row>
  </sheetData>
  <mergeCells count="9">
    <mergeCell ref="B31:L31"/>
    <mergeCell ref="A1:I1"/>
    <mergeCell ref="J1:K1"/>
    <mergeCell ref="A22:B22"/>
    <mergeCell ref="A25:B25"/>
    <mergeCell ref="A2:G2"/>
    <mergeCell ref="A26:B26"/>
    <mergeCell ref="A14:B14"/>
    <mergeCell ref="A19:B19"/>
  </mergeCells>
  <pageMargins left="0.7" right="0.7" top="0.25" bottom="0.25" header="0.3" footer="0.3"/>
  <pageSetup paperSize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2" sqref="A2"/>
    </sheetView>
  </sheetViews>
  <sheetFormatPr defaultRowHeight="15" x14ac:dyDescent="0.25"/>
  <cols>
    <col min="1" max="1" width="15.28515625" customWidth="1"/>
    <col min="2" max="2" width="21.140625" customWidth="1"/>
    <col min="3" max="3" width="14.28515625" bestFit="1" customWidth="1"/>
    <col min="4" max="4" width="13.7109375" bestFit="1" customWidth="1"/>
    <col min="5" max="5" width="15.42578125" bestFit="1" customWidth="1"/>
    <col min="6" max="6" width="14.7109375" bestFit="1" customWidth="1"/>
    <col min="7" max="8" width="13.7109375" bestFit="1" customWidth="1"/>
    <col min="9" max="10" width="15.42578125" bestFit="1" customWidth="1"/>
  </cols>
  <sheetData>
    <row r="1" spans="1:11" ht="25.5" x14ac:dyDescent="0.35">
      <c r="A1" s="383" t="s">
        <v>353</v>
      </c>
      <c r="B1" s="383"/>
      <c r="C1" s="383"/>
      <c r="D1" s="383"/>
      <c r="E1" s="383"/>
      <c r="F1" s="383"/>
      <c r="G1" s="383"/>
      <c r="H1" s="383"/>
      <c r="I1" s="383"/>
      <c r="J1" s="289" t="s">
        <v>224</v>
      </c>
      <c r="K1" s="416"/>
    </row>
    <row r="3" spans="1:11" ht="23.25" x14ac:dyDescent="0.35">
      <c r="B3" s="363" t="s">
        <v>320</v>
      </c>
      <c r="C3" s="363"/>
      <c r="D3" s="363"/>
      <c r="E3" s="363"/>
      <c r="F3" s="363"/>
      <c r="G3" s="363"/>
      <c r="H3" s="363"/>
      <c r="I3" s="363"/>
      <c r="J3" s="363"/>
    </row>
    <row r="4" spans="1:11" x14ac:dyDescent="0.25">
      <c r="C4" s="188" t="s">
        <v>1</v>
      </c>
      <c r="D4" s="188" t="s">
        <v>1</v>
      </c>
      <c r="E4" s="188" t="s">
        <v>1</v>
      </c>
      <c r="F4" s="188" t="s">
        <v>1</v>
      </c>
      <c r="G4" s="188" t="s">
        <v>347</v>
      </c>
      <c r="H4" s="188" t="s">
        <v>347</v>
      </c>
    </row>
    <row r="5" spans="1:11" x14ac:dyDescent="0.25">
      <c r="C5" s="188">
        <v>2012</v>
      </c>
      <c r="D5" s="188">
        <v>2013</v>
      </c>
      <c r="E5" s="188">
        <v>2014</v>
      </c>
      <c r="F5" s="188">
        <v>2015</v>
      </c>
      <c r="G5" s="188">
        <v>2016</v>
      </c>
      <c r="H5" s="188">
        <v>2017</v>
      </c>
      <c r="I5" s="188" t="s">
        <v>344</v>
      </c>
      <c r="J5" s="188" t="s">
        <v>37</v>
      </c>
    </row>
    <row r="6" spans="1:11" x14ac:dyDescent="0.25">
      <c r="B6" s="327" t="s">
        <v>345</v>
      </c>
      <c r="C6" s="328">
        <v>97650</v>
      </c>
      <c r="D6" s="328">
        <v>101996.5</v>
      </c>
      <c r="E6" s="328">
        <v>100480</v>
      </c>
      <c r="F6" s="328">
        <v>79371.5</v>
      </c>
      <c r="G6" s="328">
        <v>99962</v>
      </c>
      <c r="H6" s="328">
        <v>93949.333333333328</v>
      </c>
      <c r="I6" s="328">
        <v>6013</v>
      </c>
      <c r="J6" s="329">
        <v>-6.0100000000000001E-2</v>
      </c>
    </row>
    <row r="7" spans="1:11" x14ac:dyDescent="0.25">
      <c r="B7" t="s">
        <v>346</v>
      </c>
      <c r="C7" s="19">
        <v>242</v>
      </c>
      <c r="D7" s="19">
        <v>308</v>
      </c>
      <c r="E7" s="19">
        <v>411</v>
      </c>
      <c r="F7" s="19">
        <v>439</v>
      </c>
      <c r="G7" s="19">
        <v>320</v>
      </c>
      <c r="H7" s="19">
        <v>386</v>
      </c>
      <c r="I7" s="19">
        <v>386</v>
      </c>
      <c r="J7" s="326"/>
    </row>
    <row r="8" spans="1:11" x14ac:dyDescent="0.25">
      <c r="B8" s="327" t="s">
        <v>329</v>
      </c>
      <c r="C8" s="328">
        <v>12224</v>
      </c>
      <c r="D8" s="328">
        <v>11749.5</v>
      </c>
      <c r="E8" s="328">
        <v>12591.5</v>
      </c>
      <c r="F8" s="328">
        <v>12674</v>
      </c>
      <c r="G8" s="328">
        <v>12188.333333333334</v>
      </c>
      <c r="H8" s="328">
        <v>12338.333333333334</v>
      </c>
      <c r="I8" s="328">
        <v>150</v>
      </c>
      <c r="J8" s="329">
        <v>1.2306850813619581E-2</v>
      </c>
    </row>
    <row r="9" spans="1:11" x14ac:dyDescent="0.25">
      <c r="B9" t="s">
        <v>348</v>
      </c>
      <c r="C9" s="19">
        <v>11070.5</v>
      </c>
      <c r="D9" s="19">
        <v>12917.5</v>
      </c>
      <c r="E9" s="19">
        <v>13280.5</v>
      </c>
      <c r="F9" s="19">
        <v>15841.5</v>
      </c>
      <c r="G9" s="19">
        <v>12422.833333333334</v>
      </c>
      <c r="H9" s="19">
        <v>14013.166666666666</v>
      </c>
      <c r="I9" s="19">
        <v>1590.3333333333321</v>
      </c>
      <c r="J9" s="326">
        <v>0.12801695802084861</v>
      </c>
    </row>
    <row r="10" spans="1:11" x14ac:dyDescent="0.25">
      <c r="B10" s="327" t="s">
        <v>331</v>
      </c>
      <c r="C10" s="328">
        <v>21984.5</v>
      </c>
      <c r="D10" s="328">
        <v>21485.5</v>
      </c>
      <c r="E10" s="328">
        <v>23710.5</v>
      </c>
      <c r="F10" s="328">
        <v>21489</v>
      </c>
      <c r="G10" s="328">
        <v>22393.5</v>
      </c>
      <c r="H10" s="328">
        <v>22228.333333333332</v>
      </c>
      <c r="I10" s="328">
        <v>-165.16666666666788</v>
      </c>
      <c r="J10" s="329">
        <v>-7.3756521609693827E-3</v>
      </c>
    </row>
    <row r="11" spans="1:11" x14ac:dyDescent="0.25">
      <c r="B11" t="s">
        <v>332</v>
      </c>
      <c r="C11" s="19">
        <v>10815.5</v>
      </c>
      <c r="D11" s="19">
        <v>9513.5</v>
      </c>
      <c r="E11" s="19">
        <v>8743.5</v>
      </c>
      <c r="F11" s="19">
        <v>6641</v>
      </c>
      <c r="G11" s="19">
        <v>9690.8333333333339</v>
      </c>
      <c r="H11" s="19">
        <v>8299.3333333333339</v>
      </c>
      <c r="I11" s="19">
        <v>-1391.5</v>
      </c>
      <c r="J11" s="326">
        <v>-0.14358930260555508</v>
      </c>
    </row>
    <row r="12" spans="1:11" x14ac:dyDescent="0.25">
      <c r="B12" s="327" t="s">
        <v>349</v>
      </c>
      <c r="C12" s="328">
        <v>2497.5</v>
      </c>
      <c r="D12" s="328">
        <v>2409</v>
      </c>
      <c r="E12" s="328">
        <v>2836.5</v>
      </c>
      <c r="F12" s="328">
        <v>2005.5</v>
      </c>
      <c r="G12" s="328">
        <v>2581</v>
      </c>
      <c r="H12" s="328">
        <v>2417</v>
      </c>
      <c r="I12" s="328">
        <v>-164</v>
      </c>
      <c r="J12" s="329">
        <v>-6.3541263076327001E-2</v>
      </c>
    </row>
    <row r="13" spans="1:11" x14ac:dyDescent="0.25">
      <c r="B13" t="s">
        <v>334</v>
      </c>
      <c r="C13" s="19">
        <v>56757.5</v>
      </c>
      <c r="D13" s="19">
        <v>57338</v>
      </c>
      <c r="E13" s="19">
        <v>56975</v>
      </c>
      <c r="F13" s="19">
        <v>49077</v>
      </c>
      <c r="G13" s="19">
        <v>57023.5</v>
      </c>
      <c r="H13" s="19">
        <v>54463.333333333336</v>
      </c>
      <c r="I13" s="19">
        <v>-2560.1666666666642</v>
      </c>
      <c r="J13" s="326">
        <v>-4.4896694637590891E-2</v>
      </c>
    </row>
    <row r="14" spans="1:11" ht="15.75" thickBot="1" x14ac:dyDescent="0.3">
      <c r="B14" s="377" t="s">
        <v>335</v>
      </c>
      <c r="C14" s="331">
        <v>6958</v>
      </c>
      <c r="D14" s="331">
        <v>6863</v>
      </c>
      <c r="E14" s="331">
        <v>7493</v>
      </c>
      <c r="F14" s="331">
        <v>8499</v>
      </c>
      <c r="G14" s="331">
        <v>7104.666666666667</v>
      </c>
      <c r="H14" s="331">
        <v>7618.333333333333</v>
      </c>
      <c r="I14" s="331">
        <v>513.66666666666606</v>
      </c>
      <c r="J14" s="332">
        <v>7.2299896781458109E-2</v>
      </c>
    </row>
    <row r="15" spans="1:11" x14ac:dyDescent="0.25">
      <c r="B15" t="s">
        <v>336</v>
      </c>
      <c r="C15" s="19">
        <v>2132</v>
      </c>
      <c r="D15" s="19">
        <v>2084</v>
      </c>
      <c r="E15" s="19">
        <v>2343</v>
      </c>
      <c r="F15" s="19">
        <v>2553</v>
      </c>
      <c r="G15" s="19">
        <v>2156</v>
      </c>
      <c r="H15" s="19">
        <v>2327</v>
      </c>
      <c r="I15" s="19">
        <v>171</v>
      </c>
      <c r="J15" s="326">
        <v>7.9200000000000007E-2</v>
      </c>
    </row>
    <row r="16" spans="1:11" x14ac:dyDescent="0.25">
      <c r="B16" s="330" t="s">
        <v>337</v>
      </c>
      <c r="C16" s="331">
        <v>154</v>
      </c>
      <c r="D16" s="331">
        <v>137</v>
      </c>
      <c r="E16" s="331">
        <v>185</v>
      </c>
      <c r="F16" s="331">
        <v>189</v>
      </c>
      <c r="G16" s="331">
        <v>189</v>
      </c>
      <c r="H16" s="331">
        <v>170</v>
      </c>
      <c r="I16" s="331">
        <v>-19</v>
      </c>
      <c r="J16" s="332">
        <v>-9.8799999999999999E-2</v>
      </c>
    </row>
    <row r="17" spans="1:10" x14ac:dyDescent="0.25">
      <c r="B17" t="s">
        <v>338</v>
      </c>
      <c r="C17" s="19">
        <v>6645</v>
      </c>
      <c r="D17" s="19">
        <v>6567</v>
      </c>
      <c r="E17" s="19">
        <v>7280</v>
      </c>
      <c r="F17" s="19">
        <v>7593</v>
      </c>
      <c r="G17" s="19">
        <v>6830.666666666667</v>
      </c>
      <c r="H17" s="19">
        <v>7146.666666666667</v>
      </c>
      <c r="I17" s="19">
        <v>316</v>
      </c>
      <c r="J17" s="326">
        <v>4.6261955885223499E-2</v>
      </c>
    </row>
    <row r="18" spans="1:10" x14ac:dyDescent="0.25">
      <c r="B18" s="330" t="s">
        <v>339</v>
      </c>
      <c r="C18" s="331">
        <v>8185</v>
      </c>
      <c r="D18" s="331">
        <v>8227</v>
      </c>
      <c r="E18" s="331">
        <v>9116</v>
      </c>
      <c r="F18" s="331">
        <v>9703</v>
      </c>
      <c r="G18" s="331">
        <v>8509.3333333333339</v>
      </c>
      <c r="H18" s="331">
        <v>9015.3333333333339</v>
      </c>
      <c r="I18" s="331">
        <v>506</v>
      </c>
      <c r="J18" s="332">
        <v>5.9464117831400813E-2</v>
      </c>
    </row>
    <row r="19" spans="1:10" x14ac:dyDescent="0.25">
      <c r="B19" t="s">
        <v>340</v>
      </c>
      <c r="C19" s="19">
        <v>3094</v>
      </c>
      <c r="D19" s="19">
        <v>3171</v>
      </c>
      <c r="E19" s="19">
        <v>3418</v>
      </c>
      <c r="F19" s="19">
        <v>3504</v>
      </c>
      <c r="G19" s="19">
        <v>3227.6666666666665</v>
      </c>
      <c r="H19" s="19">
        <v>3364.3333333333335</v>
      </c>
      <c r="I19" s="19">
        <v>136.66666666666697</v>
      </c>
      <c r="J19" s="326">
        <v>4.2342249302902091E-2</v>
      </c>
    </row>
    <row r="20" spans="1:10" x14ac:dyDescent="0.25">
      <c r="B20" s="330" t="s">
        <v>341</v>
      </c>
      <c r="C20" s="331">
        <v>2439</v>
      </c>
      <c r="D20" s="331">
        <v>2480</v>
      </c>
      <c r="E20" s="331">
        <v>2652</v>
      </c>
      <c r="F20" s="331">
        <v>2756</v>
      </c>
      <c r="G20" s="331">
        <v>2523.6666666666665</v>
      </c>
      <c r="H20" s="331">
        <v>2629.3333333333335</v>
      </c>
      <c r="I20" s="331">
        <v>105.66666666666697</v>
      </c>
      <c r="J20" s="332">
        <v>4.1870294544974367E-2</v>
      </c>
    </row>
    <row r="22" spans="1:10" ht="23.25" x14ac:dyDescent="0.35">
      <c r="B22" s="363" t="s">
        <v>354</v>
      </c>
      <c r="C22" s="363"/>
      <c r="D22" s="363"/>
      <c r="E22" s="363"/>
      <c r="F22" s="363"/>
      <c r="G22" s="363"/>
      <c r="H22" s="363"/>
      <c r="I22" s="363"/>
      <c r="J22" s="363"/>
    </row>
    <row r="23" spans="1:10" ht="15.75" thickBot="1" x14ac:dyDescent="0.3"/>
    <row r="24" spans="1:10" x14ac:dyDescent="0.25">
      <c r="A24" s="59"/>
      <c r="B24" s="121"/>
      <c r="C24" s="24" t="s">
        <v>280</v>
      </c>
      <c r="D24" s="267" t="s">
        <v>4</v>
      </c>
      <c r="E24" s="237" t="s">
        <v>4</v>
      </c>
      <c r="F24" s="237" t="s">
        <v>4</v>
      </c>
      <c r="G24" s="237" t="s">
        <v>4</v>
      </c>
      <c r="H24" s="237" t="s">
        <v>4</v>
      </c>
    </row>
    <row r="25" spans="1:10" ht="15.75" x14ac:dyDescent="0.25">
      <c r="A25" s="398" t="s">
        <v>7</v>
      </c>
      <c r="B25" s="399"/>
      <c r="C25" s="29">
        <v>2016</v>
      </c>
      <c r="D25" s="269">
        <v>2017</v>
      </c>
      <c r="E25" s="238">
        <v>2018</v>
      </c>
      <c r="F25" s="238">
        <v>2019</v>
      </c>
      <c r="G25" s="238">
        <v>2020</v>
      </c>
      <c r="H25" s="238">
        <v>2021</v>
      </c>
      <c r="J25" s="238">
        <v>2021</v>
      </c>
    </row>
    <row r="26" spans="1:10" x14ac:dyDescent="0.25">
      <c r="A26" s="128" t="s">
        <v>312</v>
      </c>
      <c r="B26" s="58" t="s">
        <v>113</v>
      </c>
      <c r="C26" s="140">
        <v>1461495</v>
      </c>
      <c r="D26" s="131">
        <f>C26/5</f>
        <v>292299</v>
      </c>
      <c r="E26" s="140">
        <v>292299</v>
      </c>
      <c r="F26" s="140">
        <v>292299</v>
      </c>
      <c r="G26" s="140">
        <v>292299</v>
      </c>
      <c r="H26" s="140">
        <v>292299</v>
      </c>
      <c r="I26" s="188" t="s">
        <v>351</v>
      </c>
      <c r="J26" s="140">
        <v>1461495</v>
      </c>
    </row>
    <row r="27" spans="1:10" x14ac:dyDescent="0.25">
      <c r="A27" s="364" t="s">
        <v>313</v>
      </c>
      <c r="B27" s="395"/>
      <c r="C27" s="220">
        <f>SUM(C26:C26)</f>
        <v>1461495</v>
      </c>
      <c r="D27" s="221"/>
      <c r="E27" s="220"/>
      <c r="F27" s="220"/>
      <c r="G27" s="220"/>
      <c r="H27" s="220"/>
    </row>
    <row r="28" spans="1:10" ht="15.75" thickBot="1" x14ac:dyDescent="0.3">
      <c r="A28" s="365" t="s">
        <v>355</v>
      </c>
      <c r="B28" s="396"/>
      <c r="C28" s="397">
        <f>SUM(C27)</f>
        <v>1461495</v>
      </c>
      <c r="D28" s="218">
        <v>292299</v>
      </c>
      <c r="E28" s="224"/>
      <c r="F28" s="224"/>
      <c r="G28" s="224"/>
      <c r="H28" s="224"/>
    </row>
    <row r="30" spans="1:10" ht="15.75" thickBot="1" x14ac:dyDescent="0.3"/>
    <row r="31" spans="1:10" x14ac:dyDescent="0.25">
      <c r="C31" s="188" t="s">
        <v>289</v>
      </c>
      <c r="D31" s="389" t="s">
        <v>4</v>
      </c>
      <c r="E31" s="188" t="s">
        <v>4</v>
      </c>
      <c r="F31" s="188" t="s">
        <v>4</v>
      </c>
      <c r="G31" s="188" t="s">
        <v>4</v>
      </c>
      <c r="H31" s="188" t="s">
        <v>44</v>
      </c>
    </row>
    <row r="32" spans="1:10" x14ac:dyDescent="0.25">
      <c r="C32" s="188">
        <v>2016</v>
      </c>
      <c r="D32" s="390">
        <v>2017</v>
      </c>
      <c r="E32" s="188">
        <v>2018</v>
      </c>
      <c r="F32" s="188">
        <v>2019</v>
      </c>
      <c r="G32" s="188">
        <v>2020</v>
      </c>
      <c r="H32" s="188">
        <v>2021</v>
      </c>
      <c r="J32" s="188">
        <v>2021</v>
      </c>
    </row>
    <row r="33" spans="2:10" x14ac:dyDescent="0.25">
      <c r="B33" s="327" t="s">
        <v>345</v>
      </c>
      <c r="C33" s="385">
        <v>538365.06000000006</v>
      </c>
      <c r="D33" s="391">
        <f>C33/5</f>
        <v>107673.01200000002</v>
      </c>
      <c r="E33" s="385">
        <f>D33</f>
        <v>107673.01200000002</v>
      </c>
      <c r="F33" s="385">
        <f>D33</f>
        <v>107673.01200000002</v>
      </c>
      <c r="G33" s="385">
        <f>D33</f>
        <v>107673.01200000002</v>
      </c>
      <c r="H33" s="386">
        <f>D33</f>
        <v>107673.01200000002</v>
      </c>
      <c r="I33" s="188" t="s">
        <v>351</v>
      </c>
      <c r="J33" s="386">
        <f>C33</f>
        <v>538365.06000000006</v>
      </c>
    </row>
    <row r="34" spans="2:10" x14ac:dyDescent="0.25">
      <c r="B34" t="s">
        <v>346</v>
      </c>
      <c r="C34" s="387">
        <v>14699.77</v>
      </c>
      <c r="D34" s="392">
        <f>C34/5</f>
        <v>2939.9540000000002</v>
      </c>
      <c r="E34" s="387">
        <f>D34</f>
        <v>2939.9540000000002</v>
      </c>
      <c r="F34" s="387">
        <f>D34</f>
        <v>2939.9540000000002</v>
      </c>
      <c r="G34" s="387">
        <f>D34</f>
        <v>2939.9540000000002</v>
      </c>
      <c r="H34" s="387">
        <f>D34</f>
        <v>2939.9540000000002</v>
      </c>
      <c r="J34" s="387">
        <f>C34</f>
        <v>14699.77</v>
      </c>
    </row>
    <row r="35" spans="2:10" x14ac:dyDescent="0.25">
      <c r="B35" s="327" t="s">
        <v>329</v>
      </c>
      <c r="C35" s="385">
        <v>30245.29</v>
      </c>
      <c r="D35" s="391">
        <f>C35/5</f>
        <v>6049.058</v>
      </c>
      <c r="E35" s="385">
        <f>D35</f>
        <v>6049.058</v>
      </c>
      <c r="F35" s="385">
        <f>D35</f>
        <v>6049.058</v>
      </c>
      <c r="G35" s="385">
        <f>D35</f>
        <v>6049.058</v>
      </c>
      <c r="H35" s="385">
        <f>D35</f>
        <v>6049.058</v>
      </c>
      <c r="J35" s="386">
        <f>C35</f>
        <v>30245.29</v>
      </c>
    </row>
    <row r="36" spans="2:10" x14ac:dyDescent="0.25">
      <c r="B36" t="s">
        <v>348</v>
      </c>
      <c r="C36" s="387">
        <v>93194.66</v>
      </c>
      <c r="D36" s="392">
        <f>C36/5</f>
        <v>18638.932000000001</v>
      </c>
      <c r="E36" s="387">
        <f>D36</f>
        <v>18638.932000000001</v>
      </c>
      <c r="F36" s="387">
        <f>D36</f>
        <v>18638.932000000001</v>
      </c>
      <c r="G36" s="387">
        <f>D36</f>
        <v>18638.932000000001</v>
      </c>
      <c r="H36" s="387">
        <f>D36</f>
        <v>18638.932000000001</v>
      </c>
      <c r="J36" s="387">
        <f>C36</f>
        <v>93194.66</v>
      </c>
    </row>
    <row r="37" spans="2:10" x14ac:dyDescent="0.25">
      <c r="B37" s="327" t="s">
        <v>331</v>
      </c>
      <c r="C37" s="385">
        <v>103563.12</v>
      </c>
      <c r="D37" s="391">
        <f>C37/5</f>
        <v>20712.624</v>
      </c>
      <c r="E37" s="385">
        <f>D37</f>
        <v>20712.624</v>
      </c>
      <c r="F37" s="385">
        <f>D37</f>
        <v>20712.624</v>
      </c>
      <c r="G37" s="385">
        <f>D37</f>
        <v>20712.624</v>
      </c>
      <c r="H37" s="385">
        <f>D37</f>
        <v>20712.624</v>
      </c>
      <c r="J37" s="386">
        <f>C37</f>
        <v>103563.12</v>
      </c>
    </row>
    <row r="38" spans="2:10" x14ac:dyDescent="0.25">
      <c r="B38" t="s">
        <v>332</v>
      </c>
      <c r="C38" s="387">
        <v>31837.14</v>
      </c>
      <c r="D38" s="392">
        <f>C38/5</f>
        <v>6367.4279999999999</v>
      </c>
      <c r="E38" s="387">
        <f>D38</f>
        <v>6367.4279999999999</v>
      </c>
      <c r="F38" s="387">
        <f>D38</f>
        <v>6367.4279999999999</v>
      </c>
      <c r="G38" s="387">
        <f>D38</f>
        <v>6367.4279999999999</v>
      </c>
      <c r="H38" s="387">
        <f>D38</f>
        <v>6367.4279999999999</v>
      </c>
      <c r="J38" s="387">
        <f>C38</f>
        <v>31837.14</v>
      </c>
    </row>
    <row r="39" spans="2:10" x14ac:dyDescent="0.25">
      <c r="B39" s="327" t="s">
        <v>349</v>
      </c>
      <c r="C39" s="385">
        <f>51481.95+16010.69</f>
        <v>67492.639999999999</v>
      </c>
      <c r="D39" s="391">
        <f>C39/5</f>
        <v>13498.528</v>
      </c>
      <c r="E39" s="385">
        <f>D39</f>
        <v>13498.528</v>
      </c>
      <c r="F39" s="385">
        <f>D39</f>
        <v>13498.528</v>
      </c>
      <c r="G39" s="385">
        <f>D39</f>
        <v>13498.528</v>
      </c>
      <c r="H39" s="385">
        <f>D39</f>
        <v>13498.528</v>
      </c>
      <c r="J39" s="386">
        <f>C39</f>
        <v>67492.639999999999</v>
      </c>
    </row>
    <row r="40" spans="2:10" x14ac:dyDescent="0.25">
      <c r="B40" t="s">
        <v>334</v>
      </c>
      <c r="C40" s="387">
        <v>124862.99</v>
      </c>
      <c r="D40" s="392">
        <f>C40/5</f>
        <v>24972.598000000002</v>
      </c>
      <c r="E40" s="387">
        <f>D40</f>
        <v>24972.598000000002</v>
      </c>
      <c r="F40" s="387">
        <f>D40</f>
        <v>24972.598000000002</v>
      </c>
      <c r="G40" s="387">
        <f>D40</f>
        <v>24972.598000000002</v>
      </c>
      <c r="H40" s="387">
        <f>D40</f>
        <v>24972.598000000002</v>
      </c>
      <c r="J40" s="387">
        <f>C40</f>
        <v>124862.99</v>
      </c>
    </row>
    <row r="41" spans="2:10" x14ac:dyDescent="0.25">
      <c r="B41" s="376" t="s">
        <v>335</v>
      </c>
      <c r="C41" s="388">
        <v>47230.559999999998</v>
      </c>
      <c r="D41" s="393">
        <f>C41/5</f>
        <v>9446.1119999999992</v>
      </c>
      <c r="E41" s="388">
        <f>D41</f>
        <v>9446.1119999999992</v>
      </c>
      <c r="F41" s="388">
        <f>D41</f>
        <v>9446.1119999999992</v>
      </c>
      <c r="G41" s="388">
        <f>D41</f>
        <v>9446.1119999999992</v>
      </c>
      <c r="H41" s="388">
        <f>D41</f>
        <v>9446.1119999999992</v>
      </c>
      <c r="J41" s="388">
        <f>C41</f>
        <v>47230.559999999998</v>
      </c>
    </row>
    <row r="42" spans="2:10" x14ac:dyDescent="0.25">
      <c r="B42" t="s">
        <v>336</v>
      </c>
      <c r="C42" s="387">
        <v>47512.17</v>
      </c>
      <c r="D42" s="392">
        <f>C42/5</f>
        <v>9502.4339999999993</v>
      </c>
      <c r="E42" s="387">
        <f>D42</f>
        <v>9502.4339999999993</v>
      </c>
      <c r="F42" s="387">
        <f>D42</f>
        <v>9502.4339999999993</v>
      </c>
      <c r="G42" s="387">
        <f>D42</f>
        <v>9502.4339999999993</v>
      </c>
      <c r="H42" s="387">
        <f>D42</f>
        <v>9502.4339999999993</v>
      </c>
      <c r="J42" s="387">
        <f>C42</f>
        <v>47512.17</v>
      </c>
    </row>
    <row r="43" spans="2:10" x14ac:dyDescent="0.25">
      <c r="B43" s="330"/>
      <c r="C43" s="388"/>
      <c r="D43" s="393">
        <f>C43/5</f>
        <v>0</v>
      </c>
      <c r="E43" s="388">
        <f>D43</f>
        <v>0</v>
      </c>
      <c r="F43" s="388">
        <f>D43</f>
        <v>0</v>
      </c>
      <c r="G43" s="388">
        <f>D43</f>
        <v>0</v>
      </c>
      <c r="H43" s="388">
        <f>D43</f>
        <v>0</v>
      </c>
      <c r="J43" s="388">
        <f>C43</f>
        <v>0</v>
      </c>
    </row>
    <row r="44" spans="2:10" x14ac:dyDescent="0.25">
      <c r="B44" t="s">
        <v>338</v>
      </c>
      <c r="C44" s="387">
        <v>156646.48000000001</v>
      </c>
      <c r="D44" s="392">
        <f>C44/5</f>
        <v>31329.296000000002</v>
      </c>
      <c r="E44" s="387">
        <f>D44</f>
        <v>31329.296000000002</v>
      </c>
      <c r="F44" s="387">
        <f>D44</f>
        <v>31329.296000000002</v>
      </c>
      <c r="G44" s="387">
        <f>D44</f>
        <v>31329.296000000002</v>
      </c>
      <c r="H44" s="387">
        <f>D44</f>
        <v>31329.296000000002</v>
      </c>
      <c r="J44" s="387">
        <f>C44</f>
        <v>156646.48000000001</v>
      </c>
    </row>
    <row r="45" spans="2:10" x14ac:dyDescent="0.25">
      <c r="B45" s="330" t="s">
        <v>339</v>
      </c>
      <c r="C45" s="388">
        <v>77924.31</v>
      </c>
      <c r="D45" s="393">
        <f>C45/5</f>
        <v>15584.861999999999</v>
      </c>
      <c r="E45" s="388">
        <f>D45</f>
        <v>15584.861999999999</v>
      </c>
      <c r="F45" s="388">
        <f>D45</f>
        <v>15584.861999999999</v>
      </c>
      <c r="G45" s="388">
        <f>D45</f>
        <v>15584.861999999999</v>
      </c>
      <c r="H45" s="388">
        <f>D45</f>
        <v>15584.861999999999</v>
      </c>
      <c r="J45" s="388">
        <f>C45</f>
        <v>77924.31</v>
      </c>
    </row>
    <row r="46" spans="2:10" x14ac:dyDescent="0.25">
      <c r="B46" t="s">
        <v>340</v>
      </c>
      <c r="C46" s="387">
        <v>33191.49</v>
      </c>
      <c r="D46" s="392">
        <f>C46/5</f>
        <v>6638.2979999999998</v>
      </c>
      <c r="E46" s="387">
        <f>D46</f>
        <v>6638.2979999999998</v>
      </c>
      <c r="F46" s="387">
        <f>D46</f>
        <v>6638.2979999999998</v>
      </c>
      <c r="G46" s="387">
        <f>D46</f>
        <v>6638.2979999999998</v>
      </c>
      <c r="H46" s="387">
        <f>D46</f>
        <v>6638.2979999999998</v>
      </c>
      <c r="J46" s="387">
        <f>C46</f>
        <v>33191.49</v>
      </c>
    </row>
    <row r="47" spans="2:10" ht="15.75" thickBot="1" x14ac:dyDescent="0.3">
      <c r="B47" s="330" t="s">
        <v>341</v>
      </c>
      <c r="C47" s="388">
        <v>53318.27</v>
      </c>
      <c r="D47" s="394">
        <f>C47/5</f>
        <v>10663.653999999999</v>
      </c>
      <c r="E47" s="388">
        <f>D47</f>
        <v>10663.653999999999</v>
      </c>
      <c r="F47" s="388">
        <f>D47</f>
        <v>10663.653999999999</v>
      </c>
      <c r="G47" s="388">
        <f>D47</f>
        <v>10663.653999999999</v>
      </c>
      <c r="H47" s="388">
        <f>D47</f>
        <v>10663.653999999999</v>
      </c>
      <c r="J47" s="388">
        <f>C47</f>
        <v>53318.27</v>
      </c>
    </row>
  </sheetData>
  <mergeCells count="6">
    <mergeCell ref="A1:I1"/>
    <mergeCell ref="B22:J22"/>
    <mergeCell ref="A25:B25"/>
    <mergeCell ref="B3:J3"/>
    <mergeCell ref="A27:B27"/>
    <mergeCell ref="A28:B28"/>
  </mergeCells>
  <pageMargins left="0.7" right="0.7" top="0.25" bottom="0.2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Page1</vt:lpstr>
      <vt:lpstr>page2</vt:lpstr>
      <vt:lpstr>Page3-4</vt:lpstr>
      <vt:lpstr>Page5</vt:lpstr>
      <vt:lpstr>Page6</vt:lpstr>
      <vt:lpstr>Page7</vt:lpstr>
      <vt:lpstr>Page1!Print_Area</vt:lpstr>
      <vt:lpstr>page2!Print_Area</vt:lpstr>
      <vt:lpstr>'Page3-4'!Print_Area</vt:lpstr>
      <vt:lpstr>Page6!Print_Area</vt:lpstr>
      <vt:lpstr>Page7!Print_Area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Kirton</dc:creator>
  <cp:lastModifiedBy>Richard Kirton</cp:lastModifiedBy>
  <cp:lastPrinted>2016-06-30T21:33:14Z</cp:lastPrinted>
  <dcterms:created xsi:type="dcterms:W3CDTF">2016-06-29T22:54:34Z</dcterms:created>
  <dcterms:modified xsi:type="dcterms:W3CDTF">2016-06-30T21:54:01Z</dcterms:modified>
</cp:coreProperties>
</file>